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ota.melinda\Desktop\BDPK_2023\BDPK Intézeti Tanács_2023\IT_2023_05_26_jelenléti\"/>
    </mc:Choice>
  </mc:AlternateContent>
  <bookViews>
    <workbookView xWindow="0" yWindow="0" windowWidth="23040" windowHeight="8616" firstSheet="12" activeTab="18"/>
  </bookViews>
  <sheets>
    <sheet name="SAP rögzítés" sheetId="53" state="hidden" r:id="rId1"/>
    <sheet name="1 kari főtábla" sheetId="16" r:id="rId2"/>
    <sheet name="7." sheetId="36" state="hidden" r:id="rId3"/>
    <sheet name="14.c" sheetId="28" state="hidden" r:id="rId4"/>
    <sheet name="10." sheetId="27" state="hidden" r:id="rId5"/>
    <sheet name="22.b3" sheetId="31" state="hidden" r:id="rId6"/>
    <sheet name="22.b2" sheetId="30" state="hidden" r:id="rId7"/>
    <sheet name="3.a" sheetId="26" state="hidden" r:id="rId8"/>
    <sheet name="Bevétel 2a SZH 2023" sheetId="44" state="hidden" r:id="rId9"/>
    <sheet name="Kiadások 2a SZH 2023" sheetId="45" state="hidden" r:id="rId10"/>
    <sheet name="1 b felosztások" sheetId="17" r:id="rId11"/>
    <sheet name="2 források és kiadások" sheetId="23" r:id="rId12"/>
    <sheet name="3a bevételek" sheetId="55" r:id="rId13"/>
    <sheet name="3b képzési bevételek" sheetId="56" r:id="rId14"/>
    <sheet name="4. melléklet" sheetId="57" r:id="rId15"/>
    <sheet name="5. melléklet" sheetId="60" r:id="rId16"/>
    <sheet name="6. melléklet" sheetId="59" r:id="rId17"/>
    <sheet name="7. melléklet" sheetId="61" r:id="rId18"/>
    <sheet name="8 pályázat elszámolásköteles" sheetId="58" r:id="rId19"/>
    <sheet name="14.b" sheetId="29" state="hidden" r:id="rId20"/>
    <sheet name="3.a SH itt lévő-nem lévő bontás" sheetId="62" state="hidden" r:id="rId21"/>
    <sheet name="Munka4" sheetId="49" state="hidden" r:id="rId22"/>
    <sheet name="Neptun sz.e." sheetId="32" state="hidden" r:id="rId23"/>
    <sheet name="Tervezés" sheetId="24" state="hidden" r:id="rId24"/>
    <sheet name="7d űrlapsoros tervezéshez" sheetId="54" state="hidden" r:id="rId25"/>
    <sheet name="12." sheetId="35" state="hidden" r:id="rId26"/>
    <sheet name="12.c - folyórat" sheetId="38" state="hidden" r:id="rId27"/>
    <sheet name="12.c- EISZ" sheetId="39" state="hidden" r:id="rId28"/>
    <sheet name="20." sheetId="33" state="hidden" r:id="rId29"/>
    <sheet name="Munka2" sheetId="47" state="hidden" r:id="rId30"/>
    <sheet name="16" sheetId="63" state="hidden" r:id="rId31"/>
    <sheet name="11." sheetId="37" state="hidden" r:id="rId32"/>
    <sheet name="2022. tervsor" sheetId="25" state="hidden" r:id="rId33"/>
    <sheet name="19." sheetId="34" state="hidden" r:id="rId34"/>
    <sheet name="2a" sheetId="22" state="hidden" r:id="rId35"/>
  </sheets>
  <externalReferences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</externalReferences>
  <definedNames>
    <definedName name="_xlnm._FilterDatabase" localSheetId="1" hidden="1">'1 kari főtábla'!$A$1:$BN$532</definedName>
    <definedName name="_xlnm._FilterDatabase" localSheetId="32" hidden="1">'2022. tervsor'!$A$1:$Y$1</definedName>
    <definedName name="_xlnm._FilterDatabase" localSheetId="6" hidden="1">'22.b2'!$A$8:$H$25</definedName>
    <definedName name="_xlnm._FilterDatabase" localSheetId="5" hidden="1">'22.b3'!$A$9:$H$27</definedName>
    <definedName name="_xlnm._FilterDatabase" localSheetId="24" hidden="1">'7d űrlapsoros tervezéshez'!$A$6:$EI$49</definedName>
    <definedName name="_xlnm._FilterDatabase" localSheetId="8" hidden="1">'Bevétel 2a SZH 2023'!$A$1:$L$72</definedName>
    <definedName name="_xlnm._FilterDatabase" localSheetId="22" hidden="1">'Neptun sz.e.'!$A$1:$G$371</definedName>
    <definedName name="_xlnm._FilterDatabase" localSheetId="0" hidden="1">'SAP rögzítés'!$A$6:$U$233</definedName>
    <definedName name="a" localSheetId="14">[1]kv.várható.köz.2001!$A$1:$A$65536,[1]kv.várható.köz.2001!$A$1:$IV$1</definedName>
    <definedName name="a" localSheetId="15">[1]kv.várható.köz.2001!$A$1:$A$65536,[1]kv.várható.köz.2001!$A$1:$IV$1</definedName>
    <definedName name="a" localSheetId="17">[1]kv.várható.köz.2001!$A$1:$A$65536,[1]kv.várható.köz.2001!$A$1:$IV$1</definedName>
    <definedName name="a" localSheetId="24">#REF!</definedName>
    <definedName name="a" localSheetId="18">[1]kv.várható.köz.2001!$A$1:$A$65536,[1]kv.várható.köz.2001!$A$1:$IV$1</definedName>
    <definedName name="a">[2]kv.várható.köz.2001!$A$1:$A$65536,[2]kv.várható.köz.2001!$A$1:$IV$1</definedName>
    <definedName name="A15001_16_ÁJK_üzemeltetés">[3]munkaszám!$A$1:$A$33</definedName>
    <definedName name="as" localSheetId="20">#REF!</definedName>
    <definedName name="as" localSheetId="24">#REF!</definedName>
    <definedName name="as">#REF!</definedName>
    <definedName name="asasdasdasd" localSheetId="20">OFFSET(#REF!,0,0,COUNTA(#REF!),1)</definedName>
    <definedName name="asasdasdasd" localSheetId="24">OFFSET(#REF!,0,0,COUNTA(#REF!),1)</definedName>
    <definedName name="asasdasdasd">OFFSET(#REF!,0,0,COUNTA(#REF!),1)</definedName>
    <definedName name="asdsad" localSheetId="20">#REF!</definedName>
    <definedName name="asdsad" localSheetId="24">#REF!</definedName>
    <definedName name="asdsad">#REF!</definedName>
    <definedName name="bankszamlaszam" localSheetId="20">OFFSET(#REF!,0,0,COUNTA(#REF!),1)</definedName>
    <definedName name="bankszamlaszam" localSheetId="24">OFFSET(#REF!,0,0,COUNTA(#REF!),1)</definedName>
    <definedName name="bankszamlaszam">OFFSET(#REF!,0,0,COUNTA(#REF!),1)</definedName>
    <definedName name="beszerzés" localSheetId="24">OFFSET('[4]háttér adatbázis'!$A$1,0,0,COUNTA('[4]háttér adatbázis'!#REF!),5)</definedName>
    <definedName name="beszerzés">OFFSET('[4]háttér adatbázis'!$A$1,0,0,COUNTA('[4]háttér adatbázis'!#REF!),5)</definedName>
    <definedName name="Cím">'[4]háttér adatbázis'!$H$3:$H$95</definedName>
    <definedName name="DATA1" localSheetId="20">#REF!</definedName>
    <definedName name="DATA1" localSheetId="24">#REF!</definedName>
    <definedName name="DATA1">#REF!</definedName>
    <definedName name="DATA10" localSheetId="20">#REF!</definedName>
    <definedName name="DATA10" localSheetId="24">#REF!</definedName>
    <definedName name="DATA10">#REF!</definedName>
    <definedName name="DATA11" localSheetId="20">#REF!</definedName>
    <definedName name="DATA11" localSheetId="24">#REF!</definedName>
    <definedName name="DATA11">#REF!</definedName>
    <definedName name="DATA12" localSheetId="20">#REF!</definedName>
    <definedName name="DATA12" localSheetId="24">#REF!</definedName>
    <definedName name="DATA12">#REF!</definedName>
    <definedName name="DATA13" localSheetId="20">#REF!</definedName>
    <definedName name="DATA13" localSheetId="24">#REF!</definedName>
    <definedName name="DATA13">#REF!</definedName>
    <definedName name="DATA14" localSheetId="20">#REF!</definedName>
    <definedName name="DATA14" localSheetId="24">#REF!</definedName>
    <definedName name="DATA14">#REF!</definedName>
    <definedName name="DATA2" localSheetId="20">#REF!</definedName>
    <definedName name="DATA2" localSheetId="24">#REF!</definedName>
    <definedName name="DATA2">#REF!</definedName>
    <definedName name="DATA3" localSheetId="20">#REF!</definedName>
    <definedName name="DATA3" localSheetId="24">#REF!</definedName>
    <definedName name="DATA3">#REF!</definedName>
    <definedName name="DATA4" localSheetId="20">#REF!</definedName>
    <definedName name="DATA4" localSheetId="24">#REF!</definedName>
    <definedName name="DATA4">#REF!</definedName>
    <definedName name="DATA5" localSheetId="20">#REF!</definedName>
    <definedName name="DATA5" localSheetId="24">#REF!</definedName>
    <definedName name="DATA5">#REF!</definedName>
    <definedName name="DATA6" localSheetId="20">#REF!</definedName>
    <definedName name="DATA6" localSheetId="24">#REF!</definedName>
    <definedName name="DATA6">#REF!</definedName>
    <definedName name="DATA7" localSheetId="20">#REF!</definedName>
    <definedName name="DATA7" localSheetId="24">#REF!</definedName>
    <definedName name="DATA7">#REF!</definedName>
    <definedName name="DATA8" localSheetId="20">#REF!</definedName>
    <definedName name="DATA8" localSheetId="24">#REF!</definedName>
    <definedName name="DATA8">#REF!</definedName>
    <definedName name="DATA9" localSheetId="20">#REF!</definedName>
    <definedName name="DATA9" localSheetId="24">#REF!</definedName>
    <definedName name="DATA9">#REF!</definedName>
    <definedName name="ee">'[5]háttér adatbázis'!$M$2:$M$9</definedName>
    <definedName name="eee" localSheetId="14">[1]kv.várható.köz.2001!$A$1:$A$65536,[1]kv.várható.köz.2001!$A$1:$IV$1</definedName>
    <definedName name="eee" localSheetId="15">[1]kv.várható.köz.2001!$A$1:$A$65536,[1]kv.várható.köz.2001!$A$1:$IV$1</definedName>
    <definedName name="eee" localSheetId="17">[1]kv.várható.köz.2001!$A$1:$A$65536,[1]kv.várható.köz.2001!$A$1:$IV$1</definedName>
    <definedName name="eee" localSheetId="18">[1]kv.várható.köz.2001!$A$1:$A$65536,[1]kv.várható.köz.2001!$A$1:$IV$1</definedName>
    <definedName name="eee">[2]kv.várható.köz.2001!$A$1:$A$65536,[2]kv.várható.köz.2001!$A$1:$IV$1</definedName>
    <definedName name="előirányzat" localSheetId="24">OFFSET('[4]háttér adatbázis'!$A$1,0,0,COUNTA('[4]háttér adatbázis'!#REF!),5)</definedName>
    <definedName name="előirányzat">OFFSET('[4]háttér adatbázis'!$A$1,0,0,COUNTA('[4]háttér adatbázis'!#REF!),5)</definedName>
    <definedName name="Energianemek">'[4]háttér adatbázis'!$M$2:$M$8</definedName>
    <definedName name="épületek">[6]épületek!$F$3:$F$78</definedName>
    <definedName name="Épületkód">[7]kódok!$A$1:$A$65536</definedName>
    <definedName name="épületkódok">'[8]Új cím'!$A$7:$A$149</definedName>
    <definedName name="eseti">[9]technikai!$A$1:$A$2</definedName>
    <definedName name="ffff" localSheetId="14" hidden="1">[1]kv.várható.köz.2001!$A$1:$A$65536,[1]kv.várható.köz.2001!$A$1:$IV$1</definedName>
    <definedName name="ffff" localSheetId="15" hidden="1">[1]kv.várható.köz.2001!$A$1:$A$65536,[1]kv.várható.köz.2001!$A$1:$IV$1</definedName>
    <definedName name="ffff" localSheetId="17" hidden="1">[1]kv.várható.köz.2001!$A$1:$A$65536,[1]kv.várható.köz.2001!$A$1:$IV$1</definedName>
    <definedName name="ffff" localSheetId="18" hidden="1">[1]kv.várható.köz.2001!$A$1:$A$65536,[1]kv.várható.köz.2001!$A$1:$IV$1</definedName>
    <definedName name="ffff" hidden="1">[2]kv.várható.köz.2001!$A$1:$A$65536,[2]kv.várható.köz.2001!$A$1:$IV$1</definedName>
    <definedName name="fs" localSheetId="20">OFFSET(#REF!,0,0,COUNTA(#REF!),1)</definedName>
    <definedName name="fs" localSheetId="24">OFFSET(#REF!,0,0,COUNTA(#REF!),1)</definedName>
    <definedName name="fs">OFFSET(#REF!,0,0,COUNTA(#REF!),1)</definedName>
    <definedName name="gyakoriság">[9]technikai!$C$1:$C$6</definedName>
    <definedName name="júl">'[4]háttér adatbázis'!$H$3:$H$95</definedName>
    <definedName name="kata" localSheetId="20">#REF!</definedName>
    <definedName name="kata" localSheetId="24">#REF!</definedName>
    <definedName name="kata">#REF!</definedName>
    <definedName name="kkk" localSheetId="14">[1]kv.várható.köz.2001!$A$1:$A$65536,[1]kv.várható.köz.2001!$A$1:$IV$1</definedName>
    <definedName name="kkk" localSheetId="15">[1]kv.várható.köz.2001!$A$1:$A$65536,[1]kv.várható.köz.2001!$A$1:$IV$1</definedName>
    <definedName name="kkk" localSheetId="17">[1]kv.várható.köz.2001!$A$1:$A$65536,[1]kv.várható.köz.2001!$A$1:$IV$1</definedName>
    <definedName name="kkk" localSheetId="24">OFFSET(#REF!,0,0,COUNTA(#REF!),1)</definedName>
    <definedName name="kkk" localSheetId="18">[1]kv.várható.köz.2001!$A$1:$A$65536,[1]kv.várható.köz.2001!$A$1:$IV$1</definedName>
    <definedName name="kkk">[2]kv.várható.köz.2001!$A$1:$A$65536,[2]kv.várható.köz.2001!$A$1:$IV$1</definedName>
    <definedName name="KKK_KO_2015" localSheetId="14">[1]kv.várható.köz.2001!$A$1:$A$65536,[1]kv.várható.köz.2001!$A$1:$IV$1</definedName>
    <definedName name="KKK_KO_2015" localSheetId="15">[1]kv.várható.köz.2001!$A$1:$A$65536,[1]kv.várható.köz.2001!$A$1:$IV$1</definedName>
    <definedName name="KKK_KO_2015" localSheetId="17">[1]kv.várható.köz.2001!$A$1:$A$65536,[1]kv.várható.köz.2001!$A$1:$IV$1</definedName>
    <definedName name="KKK_KO_2015" localSheetId="18">[1]kv.várható.köz.2001!$A$1:$A$65536,[1]kv.várható.köz.2001!$A$1:$IV$1</definedName>
    <definedName name="KKK_KO_2015">[2]kv.várható.köz.2001!$A$1:$A$65536,[2]kv.várható.köz.2001!$A$1:$IV$1</definedName>
    <definedName name="kód" localSheetId="20">#REF!</definedName>
    <definedName name="kód" localSheetId="24">#REF!</definedName>
    <definedName name="kód">#REF!</definedName>
    <definedName name="Kognitiv_ELUP">[10]ELUP!$A$751:$A$756</definedName>
    <definedName name="kötelező">[9]technikai!$D$1:$D$2</definedName>
    <definedName name="közbesz" localSheetId="20">OFFSET(#REF!,0,0,COUNTA(#REF!),1)</definedName>
    <definedName name="közbesz" localSheetId="24">OFFSET(#REF!,0,0,COUNTA(#REF!),1)</definedName>
    <definedName name="közbesz">OFFSET(#REF!,0,0,COUNTA(#REF!),1)</definedName>
    <definedName name="levezetés" localSheetId="14">[1]kv.várható.köz.2001!$A$1:$A$65536,[1]kv.várható.köz.2001!$A$1:$IV$1</definedName>
    <definedName name="levezetés" localSheetId="15">[1]kv.várható.köz.2001!$A$1:$A$65536,[1]kv.várható.köz.2001!$A$1:$IV$1</definedName>
    <definedName name="levezetés" localSheetId="17">[1]kv.várható.köz.2001!$A$1:$A$65536,[1]kv.várható.köz.2001!$A$1:$IV$1</definedName>
    <definedName name="levezetés" localSheetId="18">[1]kv.várható.köz.2001!$A$1:$A$65536,[1]kv.várható.köz.2001!$A$1:$IV$1</definedName>
    <definedName name="levezetés">[2]kv.várható.köz.2001!$A$1:$A$65536,[2]kv.várható.köz.2001!$A$1:$IV$1</definedName>
    <definedName name="maradványok" localSheetId="14">[1]kv.várható.köz.2001!$A$1:$A$65536,[1]kv.várható.köz.2001!$A$1:$IV$1</definedName>
    <definedName name="maradványok" localSheetId="15">[1]kv.várható.köz.2001!$A$1:$A$65536,[1]kv.várható.köz.2001!$A$1:$IV$1</definedName>
    <definedName name="maradványok" localSheetId="17">[1]kv.várható.köz.2001!$A$1:$A$65536,[1]kv.várható.köz.2001!$A$1:$IV$1</definedName>
    <definedName name="maradványok" localSheetId="18">[1]kv.várható.köz.2001!$A$1:$A$65536,[1]kv.várható.köz.2001!$A$1:$IV$1</definedName>
    <definedName name="maradványok">[2]kv.várható.köz.2001!$A$1:$A$65536,[2]kv.várható.köz.2001!$A$1:$IV$1</definedName>
    <definedName name="Mértékegység">[11]Key!$D$2:$D$3</definedName>
    <definedName name="munka" localSheetId="20">#REF!</definedName>
    <definedName name="munka" localSheetId="24">#REF!</definedName>
    <definedName name="munka">#REF!</definedName>
    <definedName name="munka_2" localSheetId="20">#REF!</definedName>
    <definedName name="munka_2" localSheetId="24">#REF!</definedName>
    <definedName name="munka_2">#REF!</definedName>
    <definedName name="Munkaszámok" localSheetId="24">#REF!</definedName>
    <definedName name="munkaszámok">[12]munkaszám!$A$1:$A$35</definedName>
    <definedName name="_xlnm.Print_Titles" localSheetId="14">[1]kv.várható.köz.2001!$A$1:$A$65536,[1]kv.várható.köz.2001!$A$1:$IV$1</definedName>
    <definedName name="_xlnm.Print_Titles" localSheetId="15">[1]kv.várható.köz.2001!$A$1:$A$65536,[1]kv.várható.köz.2001!$A$1:$IV$1</definedName>
    <definedName name="_xlnm.Print_Titles" localSheetId="17">[1]kv.várható.köz.2001!$A$1:$A$65536,[1]kv.várható.köz.2001!$A$1:$IV$1</definedName>
    <definedName name="_xlnm.Print_Titles" localSheetId="24">'7d űrlapsoros tervezéshez'!$A:$B,'7d űrlapsoros tervezéshez'!$2:$6</definedName>
    <definedName name="_xlnm.Print_Titles" localSheetId="18">'8 pályázat elszámolásköteles'!$A:$D,'8 pályázat elszámolásköteles'!$1:$7</definedName>
    <definedName name="_xlnm.Print_Titles">[2]kv.várható.köz.2001!$A$1:$A$65536,[2]kv.várható.köz.2001!$A$1:$IV$1</definedName>
    <definedName name="ok" localSheetId="20">#REF!</definedName>
    <definedName name="ok" localSheetId="24">#REF!</definedName>
    <definedName name="ok">#REF!</definedName>
    <definedName name="okok" localSheetId="20">OFFSET(#REF!,0,0,COUNTA(#REF!),1)</definedName>
    <definedName name="okok" localSheetId="24">OFFSET(#REF!,0,0,COUNTA(#REF!),1)</definedName>
    <definedName name="okok">OFFSET(#REF!,0,0,COUNTA(#REF!),1)</definedName>
    <definedName name="okokok" localSheetId="20">#REF!</definedName>
    <definedName name="okokok" localSheetId="24">#REF!</definedName>
    <definedName name="okokok">#REF!</definedName>
    <definedName name="oszlopazonositok" localSheetId="20">OFFSET(#REF!,0,0,COUNTA(#REF!),2)</definedName>
    <definedName name="oszlopazonositok" localSheetId="24">OFFSET(#REF!,0,0,COUNTA(#REF!),2)</definedName>
    <definedName name="oszlopazonositok">OFFSET(#REF!,0,0,COUNTA(#REF!),2)</definedName>
    <definedName name="Pályázatok" localSheetId="20">#REF!</definedName>
    <definedName name="Pályázatok" localSheetId="16">#REF!</definedName>
    <definedName name="Pályázatok" localSheetId="24">#REF!</definedName>
    <definedName name="Pályázatok">#REF!</definedName>
    <definedName name="rt" localSheetId="20">#REF!</definedName>
    <definedName name="rt" localSheetId="24">#REF!</definedName>
    <definedName name="rt">#REF!</definedName>
    <definedName name="szallitok" localSheetId="24">OFFSET('[4]háttér adatbázis'!$A$1,0,0,COUNTA('[4]háttér adatbázis'!#REF!),5)</definedName>
    <definedName name="szallitok">OFFSET('[4]háttér adatbázis'!$A$1,0,0,COUNTA('[4]háttér adatbázis'!#REF!),5)</definedName>
    <definedName name="szamlatipusok" localSheetId="24">OFFSET('[4]háttér adatbázis'!$Y$2,0,0,COUNTA('[4]háttér adatbázis'!#REF!)-1,1)</definedName>
    <definedName name="szamlatipusok">OFFSET('[4]háttér adatbázis'!$Y$2,0,0,COUNTA('[4]háttér adatbázis'!#REF!)-1,1)</definedName>
    <definedName name="Szerződés_típusok" localSheetId="20">#REF!</definedName>
    <definedName name="Szerződés_típusok" localSheetId="16">#REF!</definedName>
    <definedName name="Szerződés_típusok" localSheetId="24">#REF!</definedName>
    <definedName name="Szerződés_típusok">#REF!</definedName>
    <definedName name="Szerződéstípus" localSheetId="20">#REF!</definedName>
    <definedName name="Szerződéstípus" localSheetId="16">#REF!</definedName>
    <definedName name="Szerződéstípus" localSheetId="24">#REF!</definedName>
    <definedName name="Szerződéstípus">#REF!</definedName>
    <definedName name="Szerződéstípusok" localSheetId="20">#REF!</definedName>
    <definedName name="Szerződéstípusok" localSheetId="16">#REF!</definedName>
    <definedName name="Szerződéstípusok" localSheetId="24">#REF!</definedName>
    <definedName name="Szerződéstípusok">#REF!</definedName>
    <definedName name="Tagozat" localSheetId="20">#REF!</definedName>
    <definedName name="Tagozat" localSheetId="16">#REF!</definedName>
    <definedName name="Tagozat" localSheetId="24">#REF!</definedName>
    <definedName name="Tagozat">#REF!</definedName>
    <definedName name="Tagozat_" localSheetId="20">#REF!</definedName>
    <definedName name="Tagozat_" localSheetId="16">#REF!</definedName>
    <definedName name="Tagozat_" localSheetId="24">#REF!</definedName>
    <definedName name="Tagozat_">#REF!</definedName>
    <definedName name="Tagozat_2018" localSheetId="20">#REF!</definedName>
    <definedName name="Tagozat_2018" localSheetId="16">#REF!</definedName>
    <definedName name="Tagozat_2018" localSheetId="24">#REF!</definedName>
    <definedName name="Tagozat_2018">#REF!</definedName>
    <definedName name="Tagozat_2019">'[13]Általános testnevelés'!$AB$5:$AB$12</definedName>
    <definedName name="TEST1" localSheetId="20">#REF!</definedName>
    <definedName name="TEST1" localSheetId="24">#REF!</definedName>
    <definedName name="TEST1">#REF!</definedName>
    <definedName name="TESTHKEY" localSheetId="20">#REF!</definedName>
    <definedName name="TESTHKEY" localSheetId="24">#REF!</definedName>
    <definedName name="TESTHKEY">#REF!</definedName>
    <definedName name="TESTKEYS" localSheetId="20">#REF!</definedName>
    <definedName name="TESTKEYS" localSheetId="24">#REF!</definedName>
    <definedName name="TESTKEYS">#REF!</definedName>
    <definedName name="TESTVKEY" localSheetId="20">#REF!</definedName>
    <definedName name="TESTVKEY" localSheetId="24">#REF!</definedName>
    <definedName name="TESTVKEY">#REF!</definedName>
    <definedName name="tevékenység">[14]tevékenységek!$H$2:$H$112</definedName>
    <definedName name="Visszaigazolt" localSheetId="20">#REF!</definedName>
    <definedName name="Visszaigazolt" localSheetId="24">#REF!</definedName>
    <definedName name="Visszaigazolt">#REF!</definedName>
    <definedName name="ww">'[5]háttér adatbázis'!$M$2:$M$9</definedName>
    <definedName name="Z_39F0D880_D4B9_11D3_8202_0000F8086450_.wvu.PrintTitles" localSheetId="14" hidden="1">[1]kv.várható.köz.2001!$A$1:$A$65536,[1]kv.várható.köz.2001!$A$1:$IV$1</definedName>
    <definedName name="Z_39F0D880_D4B9_11D3_8202_0000F8086450_.wvu.PrintTitles" localSheetId="15" hidden="1">[1]kv.várható.köz.2001!$A$1:$A$65536,[1]kv.várható.köz.2001!$A$1:$IV$1</definedName>
    <definedName name="Z_39F0D880_D4B9_11D3_8202_0000F8086450_.wvu.PrintTitles" localSheetId="17" hidden="1">[1]kv.várható.köz.2001!$A$1:$A$65536,[1]kv.várható.köz.2001!$A$1:$IV$1</definedName>
    <definedName name="Z_39F0D880_D4B9_11D3_8202_0000F8086450_.wvu.PrintTitles" localSheetId="18" hidden="1">[1]kv.várható.köz.2001!$A$1:$A$65536,[1]kv.várható.köz.2001!$A$1:$IV$1</definedName>
    <definedName name="Z_39F0D880_D4B9_11D3_8202_0000F8086450_.wvu.PrintTitles" hidden="1">[2]kv.várható.köz.2001!$A$1:$A$65536,[2]kv.várható.köz.2001!$A$1:$IV$1</definedName>
  </definedNames>
  <calcPr calcId="162913"/>
  <pivotCaches>
    <pivotCache cacheId="0" r:id="rId50"/>
    <pivotCache cacheId="1" r:id="rId51"/>
    <pivotCache cacheId="2" r:id="rId52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19" i="16" l="1"/>
  <c r="I520" i="16"/>
  <c r="I521" i="16"/>
  <c r="I522" i="16"/>
  <c r="I523" i="16"/>
  <c r="I524" i="16"/>
  <c r="I526" i="16"/>
  <c r="I529" i="16"/>
  <c r="I530" i="16"/>
  <c r="I531" i="16"/>
  <c r="L521" i="16"/>
  <c r="AF421" i="16"/>
  <c r="AF364" i="16"/>
  <c r="L529" i="16" l="1"/>
  <c r="L530" i="16"/>
  <c r="L531" i="16"/>
  <c r="I513" i="16" l="1"/>
  <c r="I540" i="16"/>
  <c r="L421" i="16"/>
  <c r="N344" i="16"/>
  <c r="I363" i="16"/>
  <c r="C27" i="55" l="1"/>
  <c r="B27" i="55"/>
  <c r="M10" i="58" l="1"/>
  <c r="L10" i="58"/>
  <c r="K10" i="58"/>
  <c r="J10" i="58"/>
  <c r="H10" i="58"/>
  <c r="G10" i="58"/>
  <c r="F10" i="58"/>
  <c r="E10" i="58"/>
  <c r="N9" i="58"/>
  <c r="N10" i="58" s="1"/>
  <c r="I9" i="58"/>
  <c r="I10" i="58" l="1"/>
  <c r="O9" i="58"/>
  <c r="O10" i="58" s="1"/>
  <c r="E21" i="55" l="1"/>
  <c r="W40" i="59" l="1"/>
  <c r="V40" i="59"/>
  <c r="U40" i="59"/>
  <c r="T40" i="59"/>
  <c r="S40" i="59"/>
  <c r="R40" i="59"/>
  <c r="Q40" i="59"/>
  <c r="P40" i="59"/>
  <c r="O40" i="59"/>
  <c r="N40" i="59"/>
  <c r="M40" i="59"/>
  <c r="L40" i="59"/>
  <c r="K40" i="59"/>
  <c r="J40" i="59"/>
  <c r="I40" i="59"/>
  <c r="H40" i="59"/>
  <c r="G40" i="59"/>
  <c r="F40" i="59"/>
  <c r="E40" i="59"/>
  <c r="W37" i="59"/>
  <c r="V37" i="59"/>
  <c r="U37" i="59"/>
  <c r="T37" i="59"/>
  <c r="S37" i="59"/>
  <c r="R37" i="59"/>
  <c r="Q37" i="59"/>
  <c r="P37" i="59"/>
  <c r="O37" i="59"/>
  <c r="N37" i="59"/>
  <c r="M37" i="59"/>
  <c r="L37" i="59"/>
  <c r="K37" i="59"/>
  <c r="J37" i="59"/>
  <c r="I37" i="59"/>
  <c r="H37" i="59"/>
  <c r="G37" i="59"/>
  <c r="F37" i="59"/>
  <c r="E37" i="59"/>
  <c r="W32" i="59"/>
  <c r="V32" i="59"/>
  <c r="U32" i="59"/>
  <c r="T32" i="59"/>
  <c r="S32" i="59"/>
  <c r="R32" i="59"/>
  <c r="Q32" i="59"/>
  <c r="P32" i="59"/>
  <c r="O32" i="59"/>
  <c r="N32" i="59"/>
  <c r="M32" i="59"/>
  <c r="L32" i="59"/>
  <c r="K32" i="59"/>
  <c r="J32" i="59"/>
  <c r="I32" i="59"/>
  <c r="H32" i="59"/>
  <c r="G32" i="59"/>
  <c r="F32" i="59"/>
  <c r="E32" i="59"/>
  <c r="W29" i="59"/>
  <c r="V29" i="59"/>
  <c r="U29" i="59"/>
  <c r="T29" i="59"/>
  <c r="S29" i="59"/>
  <c r="R29" i="59"/>
  <c r="Q29" i="59"/>
  <c r="P29" i="59"/>
  <c r="O29" i="59"/>
  <c r="N29" i="59"/>
  <c r="M29" i="59"/>
  <c r="L29" i="59"/>
  <c r="K29" i="59"/>
  <c r="J29" i="59"/>
  <c r="I29" i="59"/>
  <c r="H29" i="59"/>
  <c r="H44" i="59" s="1"/>
  <c r="G29" i="59"/>
  <c r="F29" i="59"/>
  <c r="E29" i="59"/>
  <c r="K27" i="59"/>
  <c r="R27" i="59" s="1"/>
  <c r="T27" i="59" s="1"/>
  <c r="R26" i="59"/>
  <c r="T26" i="59" s="1"/>
  <c r="Q26" i="59"/>
  <c r="R25" i="59"/>
  <c r="T25" i="59" s="1"/>
  <c r="Q25" i="59"/>
  <c r="R24" i="59"/>
  <c r="T24" i="59" s="1"/>
  <c r="Q24" i="59"/>
  <c r="R23" i="59"/>
  <c r="T23" i="59" s="1"/>
  <c r="Q23" i="59"/>
  <c r="R22" i="59"/>
  <c r="T22" i="59" s="1"/>
  <c r="U22" i="59" s="1"/>
  <c r="W22" i="59" s="1"/>
  <c r="Q22" i="59"/>
  <c r="R21" i="59"/>
  <c r="T21" i="59" s="1"/>
  <c r="Q21" i="59"/>
  <c r="R20" i="59"/>
  <c r="T20" i="59" s="1"/>
  <c r="Q20" i="59"/>
  <c r="R19" i="59"/>
  <c r="T19" i="59" s="1"/>
  <c r="Q19" i="59"/>
  <c r="R18" i="59"/>
  <c r="T18" i="59" s="1"/>
  <c r="Q18" i="59"/>
  <c r="R17" i="59"/>
  <c r="T17" i="59" s="1"/>
  <c r="U17" i="59" s="1"/>
  <c r="W17" i="59" s="1"/>
  <c r="Q17" i="59"/>
  <c r="V16" i="59"/>
  <c r="R16" i="59"/>
  <c r="T16" i="59" s="1"/>
  <c r="Q16" i="59"/>
  <c r="R15" i="59"/>
  <c r="T15" i="59" s="1"/>
  <c r="Q15" i="59"/>
  <c r="R14" i="59"/>
  <c r="T14" i="59" s="1"/>
  <c r="Q14" i="59"/>
  <c r="R13" i="59"/>
  <c r="T13" i="59" s="1"/>
  <c r="Q13" i="59"/>
  <c r="U13" i="59" s="1"/>
  <c r="W13" i="59" s="1"/>
  <c r="R12" i="59"/>
  <c r="T12" i="59" s="1"/>
  <c r="Q12" i="59"/>
  <c r="R11" i="59"/>
  <c r="T11" i="59" s="1"/>
  <c r="Q11" i="59"/>
  <c r="R10" i="59"/>
  <c r="T10" i="59" s="1"/>
  <c r="Q10" i="59"/>
  <c r="R9" i="59"/>
  <c r="T9" i="59" s="1"/>
  <c r="Q9" i="59"/>
  <c r="R8" i="59"/>
  <c r="T8" i="59" s="1"/>
  <c r="Q8" i="59"/>
  <c r="R7" i="59"/>
  <c r="Q7" i="59"/>
  <c r="R6" i="59"/>
  <c r="T6" i="59" s="1"/>
  <c r="Q6" i="59"/>
  <c r="V5" i="59"/>
  <c r="S5" i="59"/>
  <c r="P5" i="59"/>
  <c r="P44" i="59" s="1"/>
  <c r="O5" i="59"/>
  <c r="N5" i="59"/>
  <c r="M5" i="59"/>
  <c r="L5" i="59"/>
  <c r="K5" i="59"/>
  <c r="J5" i="59"/>
  <c r="I5" i="59"/>
  <c r="H5" i="59"/>
  <c r="G5" i="59"/>
  <c r="F5" i="59"/>
  <c r="E5" i="59"/>
  <c r="R59" i="60"/>
  <c r="Q59" i="60"/>
  <c r="P59" i="60"/>
  <c r="O59" i="60"/>
  <c r="N59" i="60"/>
  <c r="M59" i="60"/>
  <c r="L59" i="60"/>
  <c r="K59" i="60"/>
  <c r="J59" i="60"/>
  <c r="I59" i="60"/>
  <c r="H59" i="60"/>
  <c r="G59" i="60"/>
  <c r="F59" i="60"/>
  <c r="E59" i="60"/>
  <c r="D59" i="60"/>
  <c r="C59" i="60"/>
  <c r="B59" i="60"/>
  <c r="Q57" i="60"/>
  <c r="P57" i="60"/>
  <c r="M57" i="60"/>
  <c r="L57" i="60"/>
  <c r="K57" i="60"/>
  <c r="J57" i="60"/>
  <c r="I57" i="60"/>
  <c r="H57" i="60"/>
  <c r="G57" i="60"/>
  <c r="F57" i="60"/>
  <c r="E57" i="60"/>
  <c r="D57" i="60"/>
  <c r="C57" i="60"/>
  <c r="B57" i="60"/>
  <c r="O56" i="60"/>
  <c r="N56" i="60"/>
  <c r="R56" i="60" s="1"/>
  <c r="O55" i="60"/>
  <c r="N55" i="60"/>
  <c r="R55" i="60" s="1"/>
  <c r="O54" i="60"/>
  <c r="N54" i="60"/>
  <c r="R54" i="60" s="1"/>
  <c r="O53" i="60"/>
  <c r="N53" i="60"/>
  <c r="R53" i="60" s="1"/>
  <c r="O52" i="60"/>
  <c r="N52" i="60"/>
  <c r="R52" i="60" s="1"/>
  <c r="O51" i="60"/>
  <c r="N51" i="60"/>
  <c r="R51" i="60" s="1"/>
  <c r="O50" i="60"/>
  <c r="N50" i="60"/>
  <c r="R50" i="60" s="1"/>
  <c r="O49" i="60"/>
  <c r="N49" i="60"/>
  <c r="R49" i="60" s="1"/>
  <c r="O48" i="60"/>
  <c r="N48" i="60"/>
  <c r="R48" i="60" s="1"/>
  <c r="O47" i="60"/>
  <c r="N47" i="60"/>
  <c r="R47" i="60" s="1"/>
  <c r="O46" i="60"/>
  <c r="N46" i="60"/>
  <c r="R46" i="60" s="1"/>
  <c r="O45" i="60"/>
  <c r="N45" i="60"/>
  <c r="R45" i="60" s="1"/>
  <c r="O44" i="60"/>
  <c r="N44" i="60"/>
  <c r="R44" i="60" s="1"/>
  <c r="O43" i="60"/>
  <c r="N43" i="60"/>
  <c r="R43" i="60" s="1"/>
  <c r="R25" i="60"/>
  <c r="Q25" i="60"/>
  <c r="P25" i="60"/>
  <c r="O25" i="60"/>
  <c r="N25" i="60"/>
  <c r="M25" i="60"/>
  <c r="L25" i="60"/>
  <c r="K25" i="60"/>
  <c r="J25" i="60"/>
  <c r="I25" i="60"/>
  <c r="H25" i="60"/>
  <c r="G25" i="60"/>
  <c r="F25" i="60"/>
  <c r="E25" i="60"/>
  <c r="D25" i="60"/>
  <c r="C25" i="60"/>
  <c r="B25" i="60"/>
  <c r="Q23" i="60"/>
  <c r="P23" i="60"/>
  <c r="M23" i="60"/>
  <c r="L23" i="60"/>
  <c r="K23" i="60"/>
  <c r="J23" i="60"/>
  <c r="I23" i="60"/>
  <c r="H23" i="60"/>
  <c r="G23" i="60"/>
  <c r="F23" i="60"/>
  <c r="E23" i="60"/>
  <c r="D23" i="60"/>
  <c r="C23" i="60"/>
  <c r="B23" i="60"/>
  <c r="O22" i="60"/>
  <c r="N22" i="60"/>
  <c r="R22" i="60" s="1"/>
  <c r="O21" i="60"/>
  <c r="N21" i="60"/>
  <c r="R21" i="60" s="1"/>
  <c r="O20" i="60"/>
  <c r="N20" i="60"/>
  <c r="R20" i="60" s="1"/>
  <c r="O19" i="60"/>
  <c r="N19" i="60"/>
  <c r="R19" i="60" s="1"/>
  <c r="O18" i="60"/>
  <c r="N18" i="60"/>
  <c r="R18" i="60" s="1"/>
  <c r="O17" i="60"/>
  <c r="N17" i="60"/>
  <c r="R17" i="60" s="1"/>
  <c r="O16" i="60"/>
  <c r="N16" i="60"/>
  <c r="R16" i="60" s="1"/>
  <c r="O15" i="60"/>
  <c r="N15" i="60"/>
  <c r="R15" i="60" s="1"/>
  <c r="R14" i="60"/>
  <c r="O14" i="60"/>
  <c r="N14" i="60"/>
  <c r="O13" i="60"/>
  <c r="N13" i="60"/>
  <c r="R13" i="60" s="1"/>
  <c r="R12" i="60"/>
  <c r="O12" i="60"/>
  <c r="N12" i="60"/>
  <c r="O11" i="60"/>
  <c r="N11" i="60"/>
  <c r="O10" i="60"/>
  <c r="N10" i="60"/>
  <c r="R10" i="60" s="1"/>
  <c r="O9" i="60"/>
  <c r="N9" i="60"/>
  <c r="R9" i="60" s="1"/>
  <c r="O32" i="57"/>
  <c r="N32" i="57"/>
  <c r="R32" i="57" s="1"/>
  <c r="O31" i="57"/>
  <c r="N31" i="57"/>
  <c r="R31" i="57" s="1"/>
  <c r="O30" i="57"/>
  <c r="N30" i="57"/>
  <c r="R30" i="57" s="1"/>
  <c r="O29" i="57"/>
  <c r="N29" i="57"/>
  <c r="R29" i="57" s="1"/>
  <c r="O28" i="57"/>
  <c r="N28" i="57"/>
  <c r="R28" i="57" s="1"/>
  <c r="O27" i="57"/>
  <c r="N27" i="57"/>
  <c r="R27" i="57" s="1"/>
  <c r="O26" i="57"/>
  <c r="N26" i="57"/>
  <c r="Q25" i="57"/>
  <c r="P25" i="57"/>
  <c r="M25" i="57"/>
  <c r="L25" i="57"/>
  <c r="K25" i="57"/>
  <c r="J25" i="57"/>
  <c r="I25" i="57"/>
  <c r="H25" i="57"/>
  <c r="G25" i="57"/>
  <c r="F25" i="57"/>
  <c r="E25" i="57"/>
  <c r="D25" i="57"/>
  <c r="C25" i="57"/>
  <c r="B25" i="57"/>
  <c r="Q23" i="57"/>
  <c r="Q34" i="57" s="1"/>
  <c r="P23" i="57"/>
  <c r="P34" i="57" s="1"/>
  <c r="M23" i="57"/>
  <c r="M34" i="57" s="1"/>
  <c r="L23" i="57"/>
  <c r="L34" i="57" s="1"/>
  <c r="K23" i="57"/>
  <c r="J23" i="57"/>
  <c r="J34" i="57" s="1"/>
  <c r="I23" i="57"/>
  <c r="H23" i="57"/>
  <c r="G23" i="57"/>
  <c r="F23" i="57"/>
  <c r="F34" i="57" s="1"/>
  <c r="E23" i="57"/>
  <c r="E34" i="57" s="1"/>
  <c r="D23" i="57"/>
  <c r="C23" i="57"/>
  <c r="B23" i="57"/>
  <c r="B34" i="57" s="1"/>
  <c r="O22" i="57"/>
  <c r="N22" i="57"/>
  <c r="R22" i="57" s="1"/>
  <c r="O21" i="57"/>
  <c r="N21" i="57"/>
  <c r="R21" i="57" s="1"/>
  <c r="O20" i="57"/>
  <c r="N20" i="57"/>
  <c r="R20" i="57" s="1"/>
  <c r="O19" i="57"/>
  <c r="N19" i="57"/>
  <c r="R19" i="57" s="1"/>
  <c r="O18" i="57"/>
  <c r="N18" i="57"/>
  <c r="R18" i="57" s="1"/>
  <c r="O17" i="57"/>
  <c r="N17" i="57"/>
  <c r="R17" i="57" s="1"/>
  <c r="O16" i="57"/>
  <c r="N16" i="57"/>
  <c r="R16" i="57" s="1"/>
  <c r="O15" i="57"/>
  <c r="N15" i="57"/>
  <c r="R15" i="57" s="1"/>
  <c r="O14" i="57"/>
  <c r="N14" i="57"/>
  <c r="R14" i="57" s="1"/>
  <c r="O13" i="57"/>
  <c r="N13" i="57"/>
  <c r="R13" i="57" s="1"/>
  <c r="O12" i="57"/>
  <c r="N12" i="57"/>
  <c r="R12" i="57" s="1"/>
  <c r="O11" i="57"/>
  <c r="N11" i="57"/>
  <c r="R11" i="57" s="1"/>
  <c r="O10" i="57"/>
  <c r="N10" i="57"/>
  <c r="R10" i="57" s="1"/>
  <c r="O9" i="57"/>
  <c r="N9" i="57"/>
  <c r="R9" i="57" s="1"/>
  <c r="U24" i="59" l="1"/>
  <c r="W24" i="59" s="1"/>
  <c r="I34" i="57"/>
  <c r="U20" i="59"/>
  <c r="W20" i="59" s="1"/>
  <c r="U10" i="59"/>
  <c r="W10" i="59" s="1"/>
  <c r="K34" i="57"/>
  <c r="E44" i="59"/>
  <c r="F44" i="59"/>
  <c r="U23" i="59"/>
  <c r="W23" i="59" s="1"/>
  <c r="U15" i="59"/>
  <c r="W15" i="59" s="1"/>
  <c r="C34" i="57"/>
  <c r="U11" i="59"/>
  <c r="W11" i="59" s="1"/>
  <c r="V44" i="59"/>
  <c r="D34" i="57"/>
  <c r="U16" i="59"/>
  <c r="W16" i="59" s="1"/>
  <c r="U21" i="59"/>
  <c r="W21" i="59" s="1"/>
  <c r="U25" i="59"/>
  <c r="W25" i="59" s="1"/>
  <c r="U26" i="59"/>
  <c r="W26" i="59" s="1"/>
  <c r="O57" i="60"/>
  <c r="O23" i="60"/>
  <c r="O25" i="57"/>
  <c r="K44" i="59"/>
  <c r="U8" i="59"/>
  <c r="W8" i="59" s="1"/>
  <c r="I44" i="59"/>
  <c r="N25" i="57"/>
  <c r="N23" i="60"/>
  <c r="L44" i="59"/>
  <c r="O23" i="57"/>
  <c r="J44" i="59"/>
  <c r="G34" i="57"/>
  <c r="M44" i="59"/>
  <c r="U9" i="59"/>
  <c r="W9" i="59" s="1"/>
  <c r="U18" i="59"/>
  <c r="W18" i="59" s="1"/>
  <c r="H34" i="57"/>
  <c r="N44" i="59"/>
  <c r="U14" i="59"/>
  <c r="W14" i="59" s="1"/>
  <c r="G44" i="59"/>
  <c r="S44" i="59"/>
  <c r="O44" i="59"/>
  <c r="U6" i="59"/>
  <c r="R5" i="59"/>
  <c r="R44" i="59" s="1"/>
  <c r="U12" i="59"/>
  <c r="W12" i="59" s="1"/>
  <c r="U19" i="59"/>
  <c r="W19" i="59" s="1"/>
  <c r="T7" i="59"/>
  <c r="T5" i="59" s="1"/>
  <c r="T44" i="59" s="1"/>
  <c r="Q27" i="59"/>
  <c r="U27" i="59" s="1"/>
  <c r="W27" i="59" s="1"/>
  <c r="R57" i="60"/>
  <c r="R11" i="60"/>
  <c r="R23" i="60" s="1"/>
  <c r="N57" i="60"/>
  <c r="R23" i="57"/>
  <c r="R26" i="57"/>
  <c r="R25" i="57" s="1"/>
  <c r="N23" i="57"/>
  <c r="N34" i="57" s="1"/>
  <c r="O34" i="57" l="1"/>
  <c r="R34" i="57"/>
  <c r="U7" i="59"/>
  <c r="W7" i="59" s="1"/>
  <c r="U5" i="59"/>
  <c r="U44" i="59" s="1"/>
  <c r="W6" i="59"/>
  <c r="W5" i="59" s="1"/>
  <c r="W44" i="59" s="1"/>
  <c r="Q5" i="59"/>
  <c r="Q44" i="59" s="1"/>
  <c r="AA214" i="16" l="1"/>
  <c r="J210" i="16" l="1"/>
  <c r="K210" i="16" s="1"/>
  <c r="L210" i="16"/>
  <c r="Z212" i="16" l="1"/>
  <c r="V212" i="16"/>
  <c r="T212" i="16"/>
  <c r="S212" i="16"/>
  <c r="R212" i="16"/>
  <c r="Q212" i="16"/>
  <c r="P212" i="16"/>
  <c r="O212" i="16"/>
  <c r="J27" i="16"/>
  <c r="AM129" i="16"/>
  <c r="AN129" i="16"/>
  <c r="Q34" i="17"/>
  <c r="J364" i="16"/>
  <c r="L519" i="16" l="1"/>
  <c r="L520" i="16"/>
  <c r="L523" i="16"/>
  <c r="L526" i="16"/>
  <c r="N84" i="16" l="1"/>
  <c r="AE11" i="17"/>
  <c r="C12" i="17" s="1"/>
  <c r="AE5" i="17"/>
  <c r="I85" i="16"/>
  <c r="I86" i="16"/>
  <c r="I87" i="16"/>
  <c r="N87" i="16" s="1"/>
  <c r="AE3" i="17"/>
  <c r="F4" i="17" s="1"/>
  <c r="C4" i="17"/>
  <c r="I88" i="16"/>
  <c r="AE28" i="17"/>
  <c r="C29" i="17" s="1"/>
  <c r="I89" i="16"/>
  <c r="K17" i="17"/>
  <c r="AE17" i="17" s="1"/>
  <c r="C18" i="17" s="1"/>
  <c r="O17" i="17"/>
  <c r="K19" i="17"/>
  <c r="O19" i="17"/>
  <c r="I90" i="16"/>
  <c r="O84" i="16"/>
  <c r="D4" i="17"/>
  <c r="P84" i="16"/>
  <c r="E12" i="17"/>
  <c r="Q84" i="16"/>
  <c r="F29" i="17"/>
  <c r="Q207" i="16" s="1"/>
  <c r="R84" i="16"/>
  <c r="G12" i="17"/>
  <c r="G4" i="17"/>
  <c r="S84" i="16"/>
  <c r="H29" i="17"/>
  <c r="S207" i="16" s="1"/>
  <c r="T84" i="16"/>
  <c r="I4" i="17"/>
  <c r="U84" i="16"/>
  <c r="J4" i="17"/>
  <c r="J29" i="17"/>
  <c r="U207" i="16" s="1"/>
  <c r="V84" i="16"/>
  <c r="K12" i="17"/>
  <c r="K4" i="17"/>
  <c r="W84" i="16"/>
  <c r="L4" i="17"/>
  <c r="L29" i="17"/>
  <c r="X84" i="16"/>
  <c r="M12" i="17"/>
  <c r="M29" i="17"/>
  <c r="X207" i="16" s="1"/>
  <c r="Y84" i="16"/>
  <c r="N4" i="17"/>
  <c r="N29" i="17"/>
  <c r="Y207" i="16" s="1"/>
  <c r="Z84" i="16"/>
  <c r="O4" i="17"/>
  <c r="O29" i="17"/>
  <c r="AA84" i="16"/>
  <c r="P4" i="17"/>
  <c r="I79" i="16"/>
  <c r="N75" i="16"/>
  <c r="AE7" i="17"/>
  <c r="O8" i="17" s="1"/>
  <c r="Z120" i="16" s="1"/>
  <c r="AC75" i="16"/>
  <c r="AC76" i="16" s="1"/>
  <c r="N77" i="16"/>
  <c r="H33" i="31"/>
  <c r="AB77" i="16" s="1"/>
  <c r="AB78" i="16" s="1"/>
  <c r="AB72" i="16" s="1"/>
  <c r="BL72" i="16" s="1"/>
  <c r="O75" i="16"/>
  <c r="O77" i="16"/>
  <c r="P75" i="16"/>
  <c r="P77" i="16"/>
  <c r="Q75" i="16"/>
  <c r="Q77" i="16"/>
  <c r="R75" i="16"/>
  <c r="R77" i="16"/>
  <c r="S75" i="16"/>
  <c r="S77" i="16"/>
  <c r="T75" i="16"/>
  <c r="T77" i="16"/>
  <c r="U75" i="16"/>
  <c r="U77" i="16"/>
  <c r="V75" i="16"/>
  <c r="V77" i="16"/>
  <c r="W75" i="16"/>
  <c r="W77" i="16"/>
  <c r="X75" i="16"/>
  <c r="X77" i="16"/>
  <c r="Y75" i="16"/>
  <c r="Y77" i="16"/>
  <c r="Z75" i="16"/>
  <c r="H29" i="31"/>
  <c r="Z77" i="16" s="1"/>
  <c r="AA75" i="16"/>
  <c r="AA77" i="16"/>
  <c r="N18" i="16"/>
  <c r="O18" i="16"/>
  <c r="P18" i="16"/>
  <c r="Q18" i="16"/>
  <c r="R18" i="16"/>
  <c r="S18" i="16"/>
  <c r="T18" i="16"/>
  <c r="U18" i="16"/>
  <c r="V18" i="16"/>
  <c r="W18" i="16"/>
  <c r="X18" i="16"/>
  <c r="Y18" i="16"/>
  <c r="Z18" i="16"/>
  <c r="AA18" i="16"/>
  <c r="N14" i="16"/>
  <c r="AC14" i="16"/>
  <c r="AC15" i="16" s="1"/>
  <c r="N16" i="16"/>
  <c r="E33" i="31"/>
  <c r="AB16" i="16" s="1"/>
  <c r="O14" i="16"/>
  <c r="O16" i="16"/>
  <c r="P14" i="16"/>
  <c r="P16" i="16"/>
  <c r="Q14" i="16"/>
  <c r="Q16" i="16"/>
  <c r="R14" i="16"/>
  <c r="R16" i="16"/>
  <c r="S14" i="16"/>
  <c r="S16" i="16"/>
  <c r="T14" i="16"/>
  <c r="T16" i="16"/>
  <c r="U14" i="16"/>
  <c r="U16" i="16"/>
  <c r="V14" i="16"/>
  <c r="V16" i="16"/>
  <c r="W14" i="16"/>
  <c r="W16" i="16"/>
  <c r="X14" i="16"/>
  <c r="X16" i="16"/>
  <c r="Y14" i="16"/>
  <c r="Y16" i="16"/>
  <c r="Z14" i="16"/>
  <c r="E29" i="31"/>
  <c r="Z16" i="16" s="1"/>
  <c r="AA14" i="16"/>
  <c r="AA16" i="16"/>
  <c r="H2" i="26"/>
  <c r="N9" i="16" s="1"/>
  <c r="F33" i="31"/>
  <c r="F29" i="31"/>
  <c r="I80" i="16"/>
  <c r="I81" i="16"/>
  <c r="AB4" i="16"/>
  <c r="Q13" i="17" s="1"/>
  <c r="S13" i="17"/>
  <c r="T13" i="17"/>
  <c r="I82" i="16"/>
  <c r="AG82" i="16" s="1"/>
  <c r="BK101" i="16"/>
  <c r="I102" i="16"/>
  <c r="I103" i="16"/>
  <c r="L20" i="44" s="1"/>
  <c r="AE22" i="17"/>
  <c r="H23" i="17" s="1"/>
  <c r="I105" i="16"/>
  <c r="I107" i="16"/>
  <c r="I109" i="16" s="1"/>
  <c r="AW109" i="16" s="1"/>
  <c r="I110" i="16"/>
  <c r="I111" i="16" s="1"/>
  <c r="Q108" i="16"/>
  <c r="R108" i="16"/>
  <c r="S108" i="16"/>
  <c r="T108" i="16"/>
  <c r="U108" i="16"/>
  <c r="V108" i="16"/>
  <c r="W108" i="16"/>
  <c r="X108" i="16"/>
  <c r="Y108" i="16"/>
  <c r="I113" i="16"/>
  <c r="I114" i="16" s="1"/>
  <c r="P12" i="17"/>
  <c r="I134" i="16"/>
  <c r="I135" i="16"/>
  <c r="AB135" i="16" s="1"/>
  <c r="BL135" i="16" s="1"/>
  <c r="L21" i="44"/>
  <c r="I122" i="16"/>
  <c r="I124" i="16" s="1"/>
  <c r="N125" i="16"/>
  <c r="O125" i="16"/>
  <c r="P125" i="16"/>
  <c r="Q125" i="16"/>
  <c r="R125" i="16"/>
  <c r="S125" i="16"/>
  <c r="T125" i="16"/>
  <c r="U125" i="16"/>
  <c r="V125" i="16"/>
  <c r="W125" i="16"/>
  <c r="X125" i="16"/>
  <c r="Y125" i="16"/>
  <c r="Z125" i="16"/>
  <c r="AA125" i="16"/>
  <c r="AB84" i="16"/>
  <c r="BL84" i="16" s="1"/>
  <c r="AB18" i="16"/>
  <c r="BL18" i="16" s="1"/>
  <c r="Q4" i="17"/>
  <c r="BL101" i="16"/>
  <c r="Q12" i="17"/>
  <c r="AB125" i="16"/>
  <c r="BL125" i="16" s="1"/>
  <c r="AC84" i="16"/>
  <c r="AC83" i="16" s="1"/>
  <c r="AD84" i="16"/>
  <c r="AD83" i="16" s="1"/>
  <c r="AE84" i="16"/>
  <c r="AE83" i="16" s="1"/>
  <c r="AF84" i="16"/>
  <c r="AF83" i="16" s="1"/>
  <c r="AG84" i="16"/>
  <c r="AG83" i="16" s="1"/>
  <c r="AH84" i="16"/>
  <c r="AH83" i="16" s="1"/>
  <c r="AI84" i="16"/>
  <c r="AI83" i="16" s="1"/>
  <c r="AJ84" i="16"/>
  <c r="AJ83" i="16" s="1"/>
  <c r="AJ94" i="16" s="1"/>
  <c r="AK84" i="16"/>
  <c r="AK83" i="16" s="1"/>
  <c r="AL84" i="16"/>
  <c r="AL83" i="16" s="1"/>
  <c r="AL97" i="16" s="1"/>
  <c r="AM84" i="16"/>
  <c r="AM83" i="16" s="1"/>
  <c r="AN84" i="16"/>
  <c r="AN83" i="16" s="1"/>
  <c r="AO84" i="16"/>
  <c r="AO83" i="16" s="1"/>
  <c r="BM72" i="16"/>
  <c r="AC18" i="16"/>
  <c r="AD18" i="16"/>
  <c r="AD99" i="16" s="1"/>
  <c r="AE18" i="16"/>
  <c r="AF18" i="16"/>
  <c r="AF93" i="16" s="1"/>
  <c r="AG18" i="16"/>
  <c r="AG96" i="16" s="1"/>
  <c r="AH18" i="16"/>
  <c r="AH93" i="16" s="1"/>
  <c r="AI18" i="16"/>
  <c r="AI93" i="16" s="1"/>
  <c r="AJ18" i="16"/>
  <c r="AJ93" i="16" s="1"/>
  <c r="AK18" i="16"/>
  <c r="AK99" i="16" s="1"/>
  <c r="AL18" i="16"/>
  <c r="AL96" i="16" s="1"/>
  <c r="AM60" i="16"/>
  <c r="AM18" i="16" s="1"/>
  <c r="AN60" i="16"/>
  <c r="AO60" i="16"/>
  <c r="AO18" i="16" s="1"/>
  <c r="R4" i="17"/>
  <c r="AC88" i="16" s="1"/>
  <c r="S4" i="17"/>
  <c r="AD88" i="16" s="1"/>
  <c r="T4" i="17"/>
  <c r="BM101" i="16"/>
  <c r="BM102" i="16"/>
  <c r="BM103" i="16"/>
  <c r="T23" i="17"/>
  <c r="U23" i="17"/>
  <c r="AA23" i="17"/>
  <c r="AB23" i="17"/>
  <c r="BM106" i="16"/>
  <c r="BM113" i="16"/>
  <c r="BM116" i="16"/>
  <c r="BM119" i="16"/>
  <c r="AO129" i="16"/>
  <c r="BM129" i="16" s="1"/>
  <c r="BM104" i="16"/>
  <c r="BM122" i="16"/>
  <c r="BM125" i="16"/>
  <c r="BN83" i="16"/>
  <c r="BN79" i="16"/>
  <c r="BN72" i="16"/>
  <c r="BN18" i="16"/>
  <c r="BN11" i="16"/>
  <c r="BN4" i="16"/>
  <c r="BN80" i="16"/>
  <c r="BN81" i="16"/>
  <c r="BN82" i="16"/>
  <c r="I11" i="16"/>
  <c r="I18" i="16"/>
  <c r="L4" i="44" s="1"/>
  <c r="I72" i="16"/>
  <c r="L5" i="44" s="1"/>
  <c r="I4" i="16"/>
  <c r="L2" i="44" s="1"/>
  <c r="I83" i="16"/>
  <c r="L11" i="44" s="1"/>
  <c r="I95" i="16"/>
  <c r="AU95" i="16" s="1"/>
  <c r="BN98" i="16"/>
  <c r="BN101" i="16"/>
  <c r="AW108" i="16"/>
  <c r="AW501" i="16" s="1"/>
  <c r="AP117" i="16"/>
  <c r="AP118" i="16"/>
  <c r="BN118" i="16" s="1"/>
  <c r="AQ120" i="16"/>
  <c r="BN120" i="16" s="1"/>
  <c r="AQ121" i="16"/>
  <c r="BN121" i="16" s="1"/>
  <c r="BN129" i="16"/>
  <c r="BN122" i="16"/>
  <c r="BN125" i="16"/>
  <c r="AP91" i="16"/>
  <c r="AR91" i="16"/>
  <c r="AS91" i="16"/>
  <c r="AT91" i="16"/>
  <c r="AU91" i="16"/>
  <c r="AV91" i="16"/>
  <c r="AW91" i="16"/>
  <c r="AX91" i="16"/>
  <c r="AY91" i="16"/>
  <c r="AY136" i="16" s="1"/>
  <c r="AY151" i="16" s="1"/>
  <c r="AZ91" i="16"/>
  <c r="AZ136" i="16" s="1"/>
  <c r="AZ151" i="16" s="1"/>
  <c r="BA91" i="16"/>
  <c r="BA136" i="16" s="1"/>
  <c r="BA151" i="16" s="1"/>
  <c r="BB91" i="16"/>
  <c r="BC91" i="16"/>
  <c r="BC136" i="16" s="1"/>
  <c r="BC151" i="16" s="1"/>
  <c r="BD91" i="16"/>
  <c r="BD136" i="16" s="1"/>
  <c r="BD151" i="16" s="1"/>
  <c r="BE91" i="16"/>
  <c r="BE136" i="16" s="1"/>
  <c r="BE151" i="16" s="1"/>
  <c r="BF91" i="16"/>
  <c r="BF136" i="16" s="1"/>
  <c r="BF151" i="16" s="1"/>
  <c r="BG91" i="16"/>
  <c r="BG136" i="16" s="1"/>
  <c r="BG151" i="16" s="1"/>
  <c r="BH91" i="16"/>
  <c r="BI91" i="16"/>
  <c r="BI136" i="16" s="1"/>
  <c r="BI151" i="16" s="1"/>
  <c r="BI191" i="16" s="1"/>
  <c r="BJ91" i="16"/>
  <c r="BJ136" i="16" s="1"/>
  <c r="BJ151" i="16" s="1"/>
  <c r="AN266" i="16"/>
  <c r="AN506" i="16" s="1"/>
  <c r="AO266" i="16"/>
  <c r="AO506" i="16" s="1"/>
  <c r="AM266" i="16"/>
  <c r="AM506" i="16" s="1"/>
  <c r="I183" i="16"/>
  <c r="AU183" i="16" s="1"/>
  <c r="J101" i="16"/>
  <c r="J132" i="16"/>
  <c r="J178" i="16"/>
  <c r="I180" i="16"/>
  <c r="L56" i="44" s="1"/>
  <c r="I181" i="16"/>
  <c r="AR181" i="16" s="1"/>
  <c r="AR502" i="16" s="1"/>
  <c r="I186" i="16"/>
  <c r="AF186" i="16" s="1"/>
  <c r="I189" i="16"/>
  <c r="I184" i="16"/>
  <c r="L60" i="44" s="1"/>
  <c r="I187" i="16"/>
  <c r="AO187" i="16" s="1"/>
  <c r="I27" i="16"/>
  <c r="K27" i="16" s="1"/>
  <c r="I266" i="16"/>
  <c r="I2" i="26"/>
  <c r="W207" i="16"/>
  <c r="Z207" i="16"/>
  <c r="P29" i="17"/>
  <c r="AA207" i="16"/>
  <c r="AA205" i="16" s="1"/>
  <c r="Q29" i="17"/>
  <c r="AB207" i="16" s="1"/>
  <c r="R29" i="17"/>
  <c r="AC207" i="16"/>
  <c r="N207" i="16"/>
  <c r="J55" i="16"/>
  <c r="I55" i="16" s="1"/>
  <c r="K55" i="16" s="1"/>
  <c r="J56" i="16"/>
  <c r="I56" i="16" s="1"/>
  <c r="K56" i="16" s="1"/>
  <c r="J57" i="16"/>
  <c r="I57" i="16" s="1"/>
  <c r="K57" i="16" s="1"/>
  <c r="J58" i="16"/>
  <c r="I58" i="16" s="1"/>
  <c r="K58" i="16" s="1"/>
  <c r="J59" i="16"/>
  <c r="J61" i="16"/>
  <c r="I61" i="16" s="1"/>
  <c r="K61" i="16" s="1"/>
  <c r="J62" i="16"/>
  <c r="I62" i="16" s="1"/>
  <c r="K62" i="16" s="1"/>
  <c r="J63" i="16"/>
  <c r="J64" i="16"/>
  <c r="I64" i="16" s="1"/>
  <c r="K64" i="16" s="1"/>
  <c r="O344" i="16"/>
  <c r="O282" i="16" s="1"/>
  <c r="U344" i="16"/>
  <c r="U282" i="16" s="1"/>
  <c r="V344" i="16"/>
  <c r="V282" i="16" s="1"/>
  <c r="R344" i="16"/>
  <c r="R282" i="16" s="1"/>
  <c r="J283" i="16"/>
  <c r="K283" i="16" s="1"/>
  <c r="J284" i="16"/>
  <c r="K284" i="16" s="1"/>
  <c r="J285" i="16"/>
  <c r="I285" i="16" s="1"/>
  <c r="K285" i="16" s="1"/>
  <c r="J286" i="16"/>
  <c r="I286" i="16" s="1"/>
  <c r="K286" i="16" s="1"/>
  <c r="J287" i="16"/>
  <c r="I287" i="16" s="1"/>
  <c r="K287" i="16" s="1"/>
  <c r="J288" i="16"/>
  <c r="I288" i="16" s="1"/>
  <c r="K288" i="16" s="1"/>
  <c r="J289" i="16"/>
  <c r="I289" i="16" s="1"/>
  <c r="K289" i="16" s="1"/>
  <c r="J290" i="16"/>
  <c r="I290" i="16" s="1"/>
  <c r="K290" i="16" s="1"/>
  <c r="J291" i="16"/>
  <c r="I291" i="16" s="1"/>
  <c r="K291" i="16" s="1"/>
  <c r="J292" i="16"/>
  <c r="I292" i="16" s="1"/>
  <c r="K292" i="16" s="1"/>
  <c r="J293" i="16"/>
  <c r="I293" i="16" s="1"/>
  <c r="K293" i="16" s="1"/>
  <c r="J294" i="16"/>
  <c r="I294" i="16" s="1"/>
  <c r="K294" i="16" s="1"/>
  <c r="J295" i="16"/>
  <c r="I295" i="16" s="1"/>
  <c r="K295" i="16" s="1"/>
  <c r="J296" i="16"/>
  <c r="I296" i="16" s="1"/>
  <c r="K296" i="16" s="1"/>
  <c r="J297" i="16"/>
  <c r="I297" i="16" s="1"/>
  <c r="K297" i="16" s="1"/>
  <c r="J298" i="16"/>
  <c r="I298" i="16" s="1"/>
  <c r="K298" i="16" s="1"/>
  <c r="J299" i="16"/>
  <c r="I299" i="16" s="1"/>
  <c r="K299" i="16" s="1"/>
  <c r="J300" i="16"/>
  <c r="I300" i="16" s="1"/>
  <c r="K300" i="16" s="1"/>
  <c r="J301" i="16"/>
  <c r="I301" i="16" s="1"/>
  <c r="K301" i="16" s="1"/>
  <c r="J302" i="16"/>
  <c r="I302" i="16" s="1"/>
  <c r="K302" i="16" s="1"/>
  <c r="J303" i="16"/>
  <c r="I303" i="16" s="1"/>
  <c r="K303" i="16" s="1"/>
  <c r="J304" i="16"/>
  <c r="I304" i="16" s="1"/>
  <c r="K304" i="16" s="1"/>
  <c r="J305" i="16"/>
  <c r="I305" i="16" s="1"/>
  <c r="K305" i="16" s="1"/>
  <c r="J306" i="16"/>
  <c r="I306" i="16" s="1"/>
  <c r="K306" i="16" s="1"/>
  <c r="J307" i="16"/>
  <c r="I307" i="16" s="1"/>
  <c r="K307" i="16" s="1"/>
  <c r="J308" i="16"/>
  <c r="I308" i="16" s="1"/>
  <c r="K308" i="16" s="1"/>
  <c r="J309" i="16"/>
  <c r="I309" i="16" s="1"/>
  <c r="K309" i="16" s="1"/>
  <c r="J310" i="16"/>
  <c r="I310" i="16" s="1"/>
  <c r="K310" i="16" s="1"/>
  <c r="J311" i="16"/>
  <c r="I311" i="16" s="1"/>
  <c r="K311" i="16" s="1"/>
  <c r="J312" i="16"/>
  <c r="I312" i="16" s="1"/>
  <c r="K312" i="16" s="1"/>
  <c r="J313" i="16"/>
  <c r="I313" i="16" s="1"/>
  <c r="K313" i="16" s="1"/>
  <c r="J314" i="16"/>
  <c r="I314" i="16" s="1"/>
  <c r="K314" i="16" s="1"/>
  <c r="J315" i="16"/>
  <c r="I315" i="16" s="1"/>
  <c r="K315" i="16" s="1"/>
  <c r="J316" i="16"/>
  <c r="I316" i="16" s="1"/>
  <c r="K316" i="16" s="1"/>
  <c r="J317" i="16"/>
  <c r="I317" i="16" s="1"/>
  <c r="K317" i="16" s="1"/>
  <c r="J318" i="16"/>
  <c r="I318" i="16" s="1"/>
  <c r="K318" i="16" s="1"/>
  <c r="J319" i="16"/>
  <c r="I319" i="16" s="1"/>
  <c r="K319" i="16" s="1"/>
  <c r="J320" i="16"/>
  <c r="I320" i="16" s="1"/>
  <c r="K320" i="16" s="1"/>
  <c r="J321" i="16"/>
  <c r="I321" i="16" s="1"/>
  <c r="K321" i="16" s="1"/>
  <c r="J322" i="16"/>
  <c r="I322" i="16" s="1"/>
  <c r="K322" i="16" s="1"/>
  <c r="J323" i="16"/>
  <c r="I323" i="16" s="1"/>
  <c r="K323" i="16" s="1"/>
  <c r="J324" i="16"/>
  <c r="I324" i="16" s="1"/>
  <c r="K324" i="16" s="1"/>
  <c r="J325" i="16"/>
  <c r="I325" i="16" s="1"/>
  <c r="K325" i="16" s="1"/>
  <c r="J326" i="16"/>
  <c r="I326" i="16" s="1"/>
  <c r="K326" i="16" s="1"/>
  <c r="J327" i="16"/>
  <c r="I327" i="16" s="1"/>
  <c r="K327" i="16" s="1"/>
  <c r="J328" i="16"/>
  <c r="I328" i="16" s="1"/>
  <c r="K328" i="16" s="1"/>
  <c r="J329" i="16"/>
  <c r="I329" i="16" s="1"/>
  <c r="K329" i="16" s="1"/>
  <c r="J330" i="16"/>
  <c r="I330" i="16" s="1"/>
  <c r="K330" i="16" s="1"/>
  <c r="J331" i="16"/>
  <c r="I331" i="16" s="1"/>
  <c r="K331" i="16" s="1"/>
  <c r="J332" i="16"/>
  <c r="I332" i="16" s="1"/>
  <c r="K332" i="16" s="1"/>
  <c r="J333" i="16"/>
  <c r="I333" i="16" s="1"/>
  <c r="K333" i="16" s="1"/>
  <c r="J334" i="16"/>
  <c r="I334" i="16" s="1"/>
  <c r="K334" i="16" s="1"/>
  <c r="J335" i="16"/>
  <c r="I335" i="16" s="1"/>
  <c r="K335" i="16" s="1"/>
  <c r="J336" i="16"/>
  <c r="I336" i="16" s="1"/>
  <c r="K336" i="16" s="1"/>
  <c r="J337" i="16"/>
  <c r="I337" i="16" s="1"/>
  <c r="K337" i="16" s="1"/>
  <c r="J338" i="16"/>
  <c r="I338" i="16" s="1"/>
  <c r="K338" i="16" s="1"/>
  <c r="J339" i="16"/>
  <c r="I339" i="16" s="1"/>
  <c r="K339" i="16" s="1"/>
  <c r="J340" i="16"/>
  <c r="I340" i="16" s="1"/>
  <c r="K340" i="16" s="1"/>
  <c r="J341" i="16"/>
  <c r="I341" i="16" s="1"/>
  <c r="K341" i="16" s="1"/>
  <c r="J342" i="16"/>
  <c r="I342" i="16" s="1"/>
  <c r="K342" i="16" s="1"/>
  <c r="J343" i="16"/>
  <c r="I343" i="16" s="1"/>
  <c r="K343" i="16" s="1"/>
  <c r="J345" i="16"/>
  <c r="I345" i="16" s="1"/>
  <c r="K345" i="16" s="1"/>
  <c r="J346" i="16"/>
  <c r="I346" i="16" s="1"/>
  <c r="K346" i="16" s="1"/>
  <c r="J347" i="16"/>
  <c r="I347" i="16" s="1"/>
  <c r="K347" i="16" s="1"/>
  <c r="J348" i="16"/>
  <c r="I348" i="16" s="1"/>
  <c r="K348" i="16" s="1"/>
  <c r="J349" i="16"/>
  <c r="I349" i="16" s="1"/>
  <c r="K349" i="16" s="1"/>
  <c r="J350" i="16"/>
  <c r="I350" i="16" s="1"/>
  <c r="K350" i="16" s="1"/>
  <c r="J351" i="16"/>
  <c r="I351" i="16" s="1"/>
  <c r="K351" i="16" s="1"/>
  <c r="J352" i="16"/>
  <c r="I352" i="16" s="1"/>
  <c r="K352" i="16" s="1"/>
  <c r="J353" i="16"/>
  <c r="I353" i="16" s="1"/>
  <c r="K353" i="16" s="1"/>
  <c r="J354" i="16"/>
  <c r="I354" i="16" s="1"/>
  <c r="K354" i="16" s="1"/>
  <c r="J357" i="16"/>
  <c r="K357" i="16" s="1"/>
  <c r="J358" i="16"/>
  <c r="K358" i="16" s="1"/>
  <c r="J360" i="16"/>
  <c r="K360" i="16" s="1"/>
  <c r="J362" i="16"/>
  <c r="J225" i="16"/>
  <c r="I225" i="16" s="1"/>
  <c r="K225" i="16" s="1"/>
  <c r="J226" i="16"/>
  <c r="I226" i="16" s="1"/>
  <c r="K226" i="16" s="1"/>
  <c r="J227" i="16"/>
  <c r="I227" i="16" s="1"/>
  <c r="K227" i="16" s="1"/>
  <c r="J228" i="16"/>
  <c r="I228" i="16" s="1"/>
  <c r="K228" i="16" s="1"/>
  <c r="J229" i="16"/>
  <c r="I229" i="16" s="1"/>
  <c r="K229" i="16" s="1"/>
  <c r="J230" i="16"/>
  <c r="I230" i="16" s="1"/>
  <c r="K230" i="16" s="1"/>
  <c r="J231" i="16"/>
  <c r="I231" i="16" s="1"/>
  <c r="K231" i="16" s="1"/>
  <c r="J232" i="16"/>
  <c r="I232" i="16" s="1"/>
  <c r="K232" i="16" s="1"/>
  <c r="J233" i="16"/>
  <c r="I233" i="16" s="1"/>
  <c r="K233" i="16" s="1"/>
  <c r="J234" i="16"/>
  <c r="I234" i="16" s="1"/>
  <c r="K234" i="16" s="1"/>
  <c r="J235" i="16"/>
  <c r="I235" i="16" s="1"/>
  <c r="K235" i="16" s="1"/>
  <c r="J236" i="16"/>
  <c r="I236" i="16" s="1"/>
  <c r="K236" i="16" s="1"/>
  <c r="J237" i="16"/>
  <c r="I237" i="16" s="1"/>
  <c r="K237" i="16" s="1"/>
  <c r="J238" i="16"/>
  <c r="I238" i="16" s="1"/>
  <c r="K238" i="16" s="1"/>
  <c r="J239" i="16"/>
  <c r="I239" i="16" s="1"/>
  <c r="K239" i="16" s="1"/>
  <c r="J240" i="16"/>
  <c r="I240" i="16" s="1"/>
  <c r="K240" i="16" s="1"/>
  <c r="J241" i="16"/>
  <c r="I241" i="16" s="1"/>
  <c r="K241" i="16" s="1"/>
  <c r="J242" i="16"/>
  <c r="I242" i="16" s="1"/>
  <c r="K242" i="16" s="1"/>
  <c r="J243" i="16"/>
  <c r="I243" i="16" s="1"/>
  <c r="K243" i="16" s="1"/>
  <c r="J244" i="16"/>
  <c r="I244" i="16" s="1"/>
  <c r="K244" i="16" s="1"/>
  <c r="J245" i="16"/>
  <c r="I245" i="16" s="1"/>
  <c r="K245" i="16" s="1"/>
  <c r="J246" i="16"/>
  <c r="I246" i="16" s="1"/>
  <c r="K246" i="16" s="1"/>
  <c r="J247" i="16"/>
  <c r="I247" i="16" s="1"/>
  <c r="K247" i="16" s="1"/>
  <c r="J248" i="16"/>
  <c r="I248" i="16" s="1"/>
  <c r="K248" i="16" s="1"/>
  <c r="J249" i="16"/>
  <c r="I249" i="16" s="1"/>
  <c r="K249" i="16" s="1"/>
  <c r="J250" i="16"/>
  <c r="I250" i="16" s="1"/>
  <c r="K250" i="16" s="1"/>
  <c r="J251" i="16"/>
  <c r="J252" i="16"/>
  <c r="I252" i="16" s="1"/>
  <c r="K252" i="16" s="1"/>
  <c r="J253" i="16"/>
  <c r="I253" i="16" s="1"/>
  <c r="K253" i="16" s="1"/>
  <c r="J254" i="16"/>
  <c r="I254" i="16" s="1"/>
  <c r="K254" i="16" s="1"/>
  <c r="J255" i="16"/>
  <c r="I255" i="16" s="1"/>
  <c r="K255" i="16" s="1"/>
  <c r="J256" i="16"/>
  <c r="I256" i="16" s="1"/>
  <c r="K256" i="16" s="1"/>
  <c r="J257" i="16"/>
  <c r="I257" i="16" s="1"/>
  <c r="K257" i="16" s="1"/>
  <c r="J259" i="16"/>
  <c r="I259" i="16" s="1"/>
  <c r="K259" i="16" s="1"/>
  <c r="J260" i="16"/>
  <c r="I260" i="16" s="1"/>
  <c r="K260" i="16" s="1"/>
  <c r="J264" i="16"/>
  <c r="I264" i="16" s="1"/>
  <c r="K264" i="16" s="1"/>
  <c r="J213" i="16"/>
  <c r="I213" i="16" s="1"/>
  <c r="K213" i="16" s="1"/>
  <c r="J214" i="16"/>
  <c r="I214" i="16" s="1"/>
  <c r="K214" i="16" s="1"/>
  <c r="J215" i="16"/>
  <c r="I215" i="16" s="1"/>
  <c r="K215" i="16" s="1"/>
  <c r="J216" i="16"/>
  <c r="I216" i="16" s="1"/>
  <c r="K216" i="16" s="1"/>
  <c r="J217" i="16"/>
  <c r="I217" i="16" s="1"/>
  <c r="K217" i="16" s="1"/>
  <c r="J218" i="16"/>
  <c r="I218" i="16" s="1"/>
  <c r="K218" i="16" s="1"/>
  <c r="J219" i="16"/>
  <c r="I219" i="16" s="1"/>
  <c r="K219" i="16" s="1"/>
  <c r="J220" i="16"/>
  <c r="I220" i="16" s="1"/>
  <c r="K220" i="16" s="1"/>
  <c r="J221" i="16"/>
  <c r="I221" i="16" s="1"/>
  <c r="K221" i="16" s="1"/>
  <c r="J222" i="16"/>
  <c r="I222" i="16" s="1"/>
  <c r="K222" i="16" s="1"/>
  <c r="J223" i="16"/>
  <c r="I223" i="16" s="1"/>
  <c r="K223" i="16" s="1"/>
  <c r="J224" i="16"/>
  <c r="J212" i="16"/>
  <c r="I212" i="16" s="1"/>
  <c r="K212" i="16" s="1"/>
  <c r="AP258" i="16"/>
  <c r="AP505" i="16" s="1"/>
  <c r="AQ258" i="16"/>
  <c r="Z137" i="16"/>
  <c r="BK137" i="16" s="1"/>
  <c r="T29" i="17"/>
  <c r="AE207" i="16" s="1"/>
  <c r="S29" i="17"/>
  <c r="AD207" i="16"/>
  <c r="AQ191" i="16"/>
  <c r="AQ494" i="16" s="1"/>
  <c r="I269" i="16"/>
  <c r="I268" i="16"/>
  <c r="AM202" i="16"/>
  <c r="AN202" i="16"/>
  <c r="AM205" i="16"/>
  <c r="AN205" i="16"/>
  <c r="AM195" i="16"/>
  <c r="AN195" i="16"/>
  <c r="AM180" i="16"/>
  <c r="AM183" i="16" s="1"/>
  <c r="AM186" i="16" s="1"/>
  <c r="AN180" i="16"/>
  <c r="AM181" i="16"/>
  <c r="AM184" i="16" s="1"/>
  <c r="AN181" i="16"/>
  <c r="AN184" i="16" s="1"/>
  <c r="AM188" i="16"/>
  <c r="AN188" i="16"/>
  <c r="T12" i="17"/>
  <c r="R12" i="17"/>
  <c r="S12" i="17"/>
  <c r="AE9" i="17"/>
  <c r="AE10" i="17"/>
  <c r="AE15" i="17"/>
  <c r="AE25" i="17"/>
  <c r="AE27" i="17"/>
  <c r="AE30" i="17"/>
  <c r="L26" i="56"/>
  <c r="K26" i="56"/>
  <c r="H26" i="56"/>
  <c r="M26" i="56" s="1"/>
  <c r="L25" i="56"/>
  <c r="K25" i="56"/>
  <c r="H25" i="56"/>
  <c r="L24" i="56"/>
  <c r="K24" i="56"/>
  <c r="H24" i="56"/>
  <c r="L23" i="56"/>
  <c r="K23" i="56"/>
  <c r="M23" i="56" s="1"/>
  <c r="H23" i="56"/>
  <c r="L22" i="56"/>
  <c r="K22" i="56"/>
  <c r="H22" i="56"/>
  <c r="L21" i="56"/>
  <c r="K21" i="56"/>
  <c r="H21" i="56"/>
  <c r="L20" i="56"/>
  <c r="K20" i="56"/>
  <c r="H20" i="56"/>
  <c r="L19" i="56"/>
  <c r="K19" i="56"/>
  <c r="M19" i="56" s="1"/>
  <c r="H19" i="56"/>
  <c r="L18" i="56"/>
  <c r="K18" i="56"/>
  <c r="H18" i="56"/>
  <c r="M18" i="56" s="1"/>
  <c r="L17" i="56"/>
  <c r="K17" i="56"/>
  <c r="H17" i="56"/>
  <c r="L16" i="56"/>
  <c r="K16" i="56"/>
  <c r="H16" i="56"/>
  <c r="L15" i="56"/>
  <c r="K15" i="56"/>
  <c r="H15" i="56"/>
  <c r="L14" i="56"/>
  <c r="K14" i="56"/>
  <c r="H14" i="56"/>
  <c r="M14" i="56" s="1"/>
  <c r="L13" i="56"/>
  <c r="K13" i="56"/>
  <c r="H13" i="56"/>
  <c r="L12" i="56"/>
  <c r="K12" i="56"/>
  <c r="H12" i="56"/>
  <c r="M12" i="56" s="1"/>
  <c r="L11" i="56"/>
  <c r="K11" i="56"/>
  <c r="H11" i="56"/>
  <c r="L10" i="56"/>
  <c r="K10" i="56"/>
  <c r="H10" i="56"/>
  <c r="L9" i="56"/>
  <c r="K9" i="56"/>
  <c r="H9" i="56"/>
  <c r="M9" i="56"/>
  <c r="L8" i="56"/>
  <c r="K8" i="56"/>
  <c r="H8" i="56"/>
  <c r="M8" i="56" s="1"/>
  <c r="L7" i="56"/>
  <c r="K7" i="56"/>
  <c r="H7" i="56"/>
  <c r="L6" i="56"/>
  <c r="K6" i="56"/>
  <c r="H6" i="56"/>
  <c r="M6" i="56" s="1"/>
  <c r="D21" i="55"/>
  <c r="D12" i="55"/>
  <c r="M7" i="56"/>
  <c r="I536" i="16"/>
  <c r="I535" i="16"/>
  <c r="BN127" i="16"/>
  <c r="BN126" i="16"/>
  <c r="BN139" i="16"/>
  <c r="BM139" i="16"/>
  <c r="BL139" i="16"/>
  <c r="BK139" i="16"/>
  <c r="AF180" i="16"/>
  <c r="AF183" i="16" s="1"/>
  <c r="AG180" i="16"/>
  <c r="AG183" i="16" s="1"/>
  <c r="AG186" i="16" s="1"/>
  <c r="AH180" i="16"/>
  <c r="AI180" i="16"/>
  <c r="AI183" i="16" s="1"/>
  <c r="AJ180" i="16"/>
  <c r="AJ183" i="16" s="1"/>
  <c r="AK180" i="16"/>
  <c r="AL180" i="16"/>
  <c r="AO180" i="16"/>
  <c r="AO183" i="16" s="1"/>
  <c r="AF181" i="16"/>
  <c r="AF184" i="16" s="1"/>
  <c r="AG181" i="16"/>
  <c r="AG184" i="16" s="1"/>
  <c r="AH181" i="16"/>
  <c r="AH184" i="16" s="1"/>
  <c r="AI181" i="16"/>
  <c r="AI184" i="16" s="1"/>
  <c r="AJ181" i="16"/>
  <c r="AJ184" i="16" s="1"/>
  <c r="AK181" i="16"/>
  <c r="AK184" i="16" s="1"/>
  <c r="AL181" i="16"/>
  <c r="AL184" i="16" s="1"/>
  <c r="AO181" i="16"/>
  <c r="AO184" i="16" s="1"/>
  <c r="AD180" i="16"/>
  <c r="AD183" i="16" s="1"/>
  <c r="AD186" i="16" s="1"/>
  <c r="AE180" i="16"/>
  <c r="AE183" i="16" s="1"/>
  <c r="AC181" i="16"/>
  <c r="AC184" i="16" s="1"/>
  <c r="AC187" i="16" s="1"/>
  <c r="AC502" i="16" s="1"/>
  <c r="AD181" i="16"/>
  <c r="AD184" i="16" s="1"/>
  <c r="AE181" i="16"/>
  <c r="AE184" i="16" s="1"/>
  <c r="AT97" i="16"/>
  <c r="AS97" i="16"/>
  <c r="AR97" i="16"/>
  <c r="AP97" i="16"/>
  <c r="E116" i="16"/>
  <c r="E113" i="16"/>
  <c r="E122" i="16"/>
  <c r="B122" i="16" s="1"/>
  <c r="E119" i="16"/>
  <c r="E486" i="16"/>
  <c r="E363" i="16"/>
  <c r="E362" i="16"/>
  <c r="E355" i="16"/>
  <c r="E282" i="16"/>
  <c r="E275" i="16"/>
  <c r="E270" i="16"/>
  <c r="E265" i="16"/>
  <c r="E208" i="16"/>
  <c r="E192" i="16"/>
  <c r="E190" i="16"/>
  <c r="E189" i="16"/>
  <c r="E188" i="16"/>
  <c r="E187" i="16"/>
  <c r="E186" i="16"/>
  <c r="E185" i="16"/>
  <c r="E184" i="16"/>
  <c r="E183" i="16"/>
  <c r="E182" i="16"/>
  <c r="E181" i="16"/>
  <c r="E180" i="16"/>
  <c r="E179" i="16"/>
  <c r="E177" i="16"/>
  <c r="E165" i="16"/>
  <c r="E164" i="16"/>
  <c r="E163" i="16"/>
  <c r="E156" i="16"/>
  <c r="B156" i="16" s="1"/>
  <c r="E155" i="16"/>
  <c r="B155" i="16" s="1"/>
  <c r="E154" i="16"/>
  <c r="B154" i="16" s="1"/>
  <c r="E153" i="16"/>
  <c r="B153" i="16" s="1"/>
  <c r="E152" i="16"/>
  <c r="B152" i="16" s="1"/>
  <c r="E150" i="16"/>
  <c r="E149" i="16"/>
  <c r="E148" i="16"/>
  <c r="E147" i="16"/>
  <c r="E146" i="16"/>
  <c r="E145" i="16"/>
  <c r="E144" i="16"/>
  <c r="E143" i="16"/>
  <c r="E142" i="16"/>
  <c r="E141" i="16"/>
  <c r="E140" i="16"/>
  <c r="E138" i="16"/>
  <c r="E137" i="16"/>
  <c r="E133" i="16"/>
  <c r="E106" i="16"/>
  <c r="E105" i="16"/>
  <c r="B105" i="16" s="1"/>
  <c r="E104" i="16"/>
  <c r="B104" i="16" s="1"/>
  <c r="E103" i="16"/>
  <c r="B103" i="16" s="1"/>
  <c r="E102" i="16"/>
  <c r="B102" i="16" s="1"/>
  <c r="E101" i="16"/>
  <c r="E98" i="16"/>
  <c r="E95" i="16"/>
  <c r="E92" i="16"/>
  <c r="E83" i="16"/>
  <c r="E82" i="16"/>
  <c r="E81" i="16"/>
  <c r="E80" i="16"/>
  <c r="E79" i="16"/>
  <c r="E72" i="16"/>
  <c r="E18" i="16"/>
  <c r="E11" i="16"/>
  <c r="E4" i="16"/>
  <c r="K33" i="31"/>
  <c r="G33" i="31"/>
  <c r="K32" i="31"/>
  <c r="J32" i="31"/>
  <c r="K31" i="31"/>
  <c r="J31" i="31"/>
  <c r="BM155" i="16"/>
  <c r="BM154" i="16"/>
  <c r="BM153" i="16"/>
  <c r="I193" i="16"/>
  <c r="I192" i="16" s="1"/>
  <c r="M16" i="36"/>
  <c r="I178" i="16" s="1"/>
  <c r="K16" i="36"/>
  <c r="M15" i="36"/>
  <c r="K15" i="36"/>
  <c r="M14" i="36"/>
  <c r="K14" i="36"/>
  <c r="M13" i="36"/>
  <c r="K13" i="36"/>
  <c r="L13" i="36" s="1"/>
  <c r="M12" i="36"/>
  <c r="K12" i="36"/>
  <c r="L12" i="36" s="1"/>
  <c r="M11" i="36"/>
  <c r="K11" i="36"/>
  <c r="L11" i="36" s="1"/>
  <c r="M10" i="36"/>
  <c r="K10" i="36"/>
  <c r="M9" i="36"/>
  <c r="L9" i="36" s="1"/>
  <c r="K9" i="36"/>
  <c r="M8" i="36"/>
  <c r="K8" i="36"/>
  <c r="L8" i="36" s="1"/>
  <c r="M7" i="36"/>
  <c r="K7" i="36"/>
  <c r="L7" i="36" s="1"/>
  <c r="M6" i="36"/>
  <c r="K6" i="36"/>
  <c r="L6" i="36" s="1"/>
  <c r="M5" i="36"/>
  <c r="K5" i="36"/>
  <c r="L5" i="36" s="1"/>
  <c r="M4" i="36"/>
  <c r="K4" i="36"/>
  <c r="E30" i="26"/>
  <c r="F30" i="26"/>
  <c r="G30" i="26"/>
  <c r="H30" i="26"/>
  <c r="I30" i="26"/>
  <c r="J30" i="26"/>
  <c r="I12" i="16" s="1"/>
  <c r="K30" i="26"/>
  <c r="L30" i="26"/>
  <c r="M30" i="26"/>
  <c r="N30" i="26"/>
  <c r="O30" i="26"/>
  <c r="P30" i="26"/>
  <c r="Q30" i="26"/>
  <c r="R30" i="26"/>
  <c r="S30" i="26"/>
  <c r="T30" i="26"/>
  <c r="I77" i="16" s="1"/>
  <c r="BF77" i="16" s="1"/>
  <c r="U30" i="26"/>
  <c r="D30" i="26"/>
  <c r="K29" i="31"/>
  <c r="J29" i="31"/>
  <c r="G29" i="31"/>
  <c r="Z174" i="16" s="1"/>
  <c r="J26" i="31"/>
  <c r="K23" i="31"/>
  <c r="J22" i="31"/>
  <c r="K19" i="31"/>
  <c r="J18" i="31"/>
  <c r="K15" i="31"/>
  <c r="J14" i="31"/>
  <c r="K11" i="31"/>
  <c r="J10" i="31"/>
  <c r="K26" i="31"/>
  <c r="K25" i="31"/>
  <c r="J25" i="31"/>
  <c r="K24" i="31"/>
  <c r="J24" i="31"/>
  <c r="J23" i="31"/>
  <c r="K22" i="31"/>
  <c r="K21" i="31"/>
  <c r="J21" i="31"/>
  <c r="K20" i="31"/>
  <c r="J20" i="31"/>
  <c r="J19" i="31"/>
  <c r="K18" i="31"/>
  <c r="K17" i="31"/>
  <c r="J17" i="31"/>
  <c r="K16" i="31"/>
  <c r="J16" i="31"/>
  <c r="J15" i="31"/>
  <c r="K14" i="31"/>
  <c r="K13" i="31"/>
  <c r="J13" i="31"/>
  <c r="K12" i="31"/>
  <c r="J12" i="31"/>
  <c r="J11" i="31"/>
  <c r="K10" i="31"/>
  <c r="J18" i="30"/>
  <c r="J10" i="30"/>
  <c r="J11" i="30"/>
  <c r="J12" i="30"/>
  <c r="J13" i="30"/>
  <c r="J14" i="30"/>
  <c r="J15" i="30"/>
  <c r="J16" i="30"/>
  <c r="J17" i="30"/>
  <c r="J19" i="30"/>
  <c r="J20" i="30"/>
  <c r="J21" i="30"/>
  <c r="J22" i="30"/>
  <c r="J9" i="30"/>
  <c r="K10" i="30"/>
  <c r="K11" i="30"/>
  <c r="K12" i="30"/>
  <c r="K13" i="30"/>
  <c r="K14" i="30"/>
  <c r="K15" i="30"/>
  <c r="K16" i="30"/>
  <c r="K17" i="30"/>
  <c r="K19" i="30"/>
  <c r="K20" i="30"/>
  <c r="K21" i="30"/>
  <c r="K22" i="30"/>
  <c r="K9" i="30"/>
  <c r="J25" i="30"/>
  <c r="J24" i="30"/>
  <c r="J23" i="30"/>
  <c r="I19" i="30"/>
  <c r="I15" i="30"/>
  <c r="I11" i="30"/>
  <c r="I23" i="30"/>
  <c r="I32" i="31"/>
  <c r="I31" i="31"/>
  <c r="F32" i="26"/>
  <c r="I13" i="31"/>
  <c r="I17" i="31"/>
  <c r="I21" i="31"/>
  <c r="I25" i="31"/>
  <c r="I10" i="31"/>
  <c r="I20" i="31"/>
  <c r="I24" i="31"/>
  <c r="I14" i="31"/>
  <c r="I18" i="31"/>
  <c r="I22" i="31"/>
  <c r="I26" i="31"/>
  <c r="I16" i="31"/>
  <c r="I11" i="31"/>
  <c r="I15" i="31"/>
  <c r="I19" i="31"/>
  <c r="I23" i="31"/>
  <c r="I27" i="31"/>
  <c r="I12" i="31"/>
  <c r="I9" i="30"/>
  <c r="I22" i="30"/>
  <c r="I18" i="30"/>
  <c r="I14" i="30"/>
  <c r="I10" i="30"/>
  <c r="I29" i="31"/>
  <c r="I25" i="30"/>
  <c r="I21" i="30"/>
  <c r="I17" i="30"/>
  <c r="I13" i="30"/>
  <c r="F31" i="26"/>
  <c r="I24" i="30"/>
  <c r="I20" i="30"/>
  <c r="I16" i="30"/>
  <c r="I12" i="30"/>
  <c r="K25" i="30"/>
  <c r="K24" i="30"/>
  <c r="K23" i="30"/>
  <c r="K18" i="30"/>
  <c r="I155" i="16"/>
  <c r="L50" i="44" s="1"/>
  <c r="I154" i="16"/>
  <c r="BG154" i="16" s="1"/>
  <c r="BN154" i="16" s="1"/>
  <c r="BM124" i="16"/>
  <c r="BM123" i="16"/>
  <c r="BM121" i="16"/>
  <c r="BM120" i="16"/>
  <c r="I119" i="16"/>
  <c r="L26" i="44" s="1"/>
  <c r="BN124" i="16"/>
  <c r="BN123" i="16"/>
  <c r="K3" i="45"/>
  <c r="K7" i="45"/>
  <c r="K8" i="45"/>
  <c r="K16" i="45"/>
  <c r="J4" i="45"/>
  <c r="I4" i="45"/>
  <c r="H4" i="45"/>
  <c r="G4" i="45"/>
  <c r="F4" i="45"/>
  <c r="E4" i="45"/>
  <c r="D4" i="45"/>
  <c r="C4" i="45"/>
  <c r="I208" i="16" s="1"/>
  <c r="K4" i="45" s="1"/>
  <c r="L6" i="44"/>
  <c r="L12" i="44"/>
  <c r="L17" i="44"/>
  <c r="L18" i="44"/>
  <c r="L29" i="44"/>
  <c r="L34" i="44"/>
  <c r="L37" i="44"/>
  <c r="L46" i="44"/>
  <c r="L68" i="44"/>
  <c r="L69" i="44"/>
  <c r="L70" i="44"/>
  <c r="L72" i="44"/>
  <c r="AF88" i="16"/>
  <c r="AJ88" i="16"/>
  <c r="AN88" i="16"/>
  <c r="AG88" i="16"/>
  <c r="AK88" i="16"/>
  <c r="AO88" i="16"/>
  <c r="AI88" i="16"/>
  <c r="AH88" i="16"/>
  <c r="AL88" i="16"/>
  <c r="AM88" i="16"/>
  <c r="BN90" i="16"/>
  <c r="BM90" i="16"/>
  <c r="AB90" i="16"/>
  <c r="BL90" i="16" s="1"/>
  <c r="BN89" i="16"/>
  <c r="BM89" i="16"/>
  <c r="BN88" i="16"/>
  <c r="BN87" i="16"/>
  <c r="BM87" i="16"/>
  <c r="AB87" i="16"/>
  <c r="BL87" i="16" s="1"/>
  <c r="BN86" i="16"/>
  <c r="BM86" i="16"/>
  <c r="P512" i="16"/>
  <c r="Q512" i="16"/>
  <c r="R512" i="16"/>
  <c r="S512" i="16"/>
  <c r="T512" i="16"/>
  <c r="V512" i="16"/>
  <c r="Z512" i="16"/>
  <c r="AA512" i="16"/>
  <c r="AB512" i="16"/>
  <c r="AD512" i="16"/>
  <c r="AE512" i="16"/>
  <c r="AF512" i="16"/>
  <c r="AG512" i="16"/>
  <c r="AH512" i="16"/>
  <c r="AI512" i="16"/>
  <c r="AJ512" i="16"/>
  <c r="AK512" i="16"/>
  <c r="AL512" i="16"/>
  <c r="AO512" i="16"/>
  <c r="AP512" i="16"/>
  <c r="AR512" i="16"/>
  <c r="AS512" i="16"/>
  <c r="AT512" i="16"/>
  <c r="AU512" i="16"/>
  <c r="AV512" i="16"/>
  <c r="AW512" i="16"/>
  <c r="AX512" i="16"/>
  <c r="AY512" i="16"/>
  <c r="AZ512" i="16"/>
  <c r="BA512" i="16"/>
  <c r="BB512" i="16"/>
  <c r="BC512" i="16"/>
  <c r="BD512" i="16"/>
  <c r="BE512" i="16"/>
  <c r="BF512" i="16"/>
  <c r="BG512" i="16"/>
  <c r="BH512" i="16"/>
  <c r="BI512" i="16"/>
  <c r="BJ512" i="16"/>
  <c r="BK512" i="16"/>
  <c r="BL512" i="16"/>
  <c r="BM512" i="16"/>
  <c r="BN512" i="16"/>
  <c r="M512" i="16"/>
  <c r="I133" i="16"/>
  <c r="L28" i="44" s="1"/>
  <c r="BL5" i="16"/>
  <c r="AB88" i="16"/>
  <c r="BL88" i="16" s="1"/>
  <c r="AE478" i="16"/>
  <c r="AD478" i="16"/>
  <c r="AC478" i="16"/>
  <c r="AE415" i="16"/>
  <c r="AD415" i="16"/>
  <c r="AC415" i="16"/>
  <c r="AE414" i="16"/>
  <c r="AD414" i="16"/>
  <c r="AC414" i="16"/>
  <c r="AE359" i="16"/>
  <c r="AD359" i="16"/>
  <c r="AC359" i="16"/>
  <c r="AE356" i="16"/>
  <c r="AD356" i="16"/>
  <c r="AC356" i="16"/>
  <c r="AE344" i="16"/>
  <c r="AE282" i="16" s="1"/>
  <c r="AD344" i="16"/>
  <c r="AD282" i="16" s="1"/>
  <c r="AC344" i="16"/>
  <c r="AC282" i="16" s="1"/>
  <c r="AE262" i="16"/>
  <c r="AD262" i="16"/>
  <c r="AC262" i="16"/>
  <c r="AE261" i="16"/>
  <c r="AD261" i="16"/>
  <c r="AC261" i="16"/>
  <c r="AE202" i="16"/>
  <c r="AD202" i="16"/>
  <c r="AC202" i="16"/>
  <c r="AE188" i="16"/>
  <c r="AD188" i="16"/>
  <c r="AC188" i="16"/>
  <c r="AF478" i="16"/>
  <c r="AF415" i="16"/>
  <c r="AF414" i="16"/>
  <c r="AF506" i="16"/>
  <c r="AF359" i="16"/>
  <c r="AF356" i="16"/>
  <c r="AF344" i="16"/>
  <c r="AF282" i="16" s="1"/>
  <c r="AF275" i="16"/>
  <c r="AF262" i="16"/>
  <c r="AF261" i="16"/>
  <c r="AF205" i="16"/>
  <c r="AF202" i="16"/>
  <c r="AF188" i="16"/>
  <c r="AG478" i="16"/>
  <c r="AG415" i="16"/>
  <c r="AG414" i="16"/>
  <c r="AG359" i="16"/>
  <c r="AG356" i="16"/>
  <c r="AG344" i="16"/>
  <c r="AG282" i="16" s="1"/>
  <c r="AG275" i="16"/>
  <c r="AG262" i="16"/>
  <c r="AG261" i="16"/>
  <c r="AG205" i="16"/>
  <c r="AG202" i="16"/>
  <c r="AG188" i="16"/>
  <c r="Z478" i="16"/>
  <c r="Z415" i="16"/>
  <c r="Z414" i="16"/>
  <c r="Z356" i="16"/>
  <c r="Z344" i="16"/>
  <c r="Z282" i="16" s="1"/>
  <c r="Z277" i="16" a="1"/>
  <c r="Z277" i="16" s="1"/>
  <c r="Z262" i="16"/>
  <c r="Z261" i="16"/>
  <c r="Z202" i="16"/>
  <c r="Z195" i="16"/>
  <c r="Z188" i="16"/>
  <c r="Z176" i="16"/>
  <c r="Z173" i="16"/>
  <c r="Z172" i="16"/>
  <c r="Z171" i="16"/>
  <c r="Z170" i="16"/>
  <c r="Z168" i="16"/>
  <c r="Z161" i="16"/>
  <c r="Z159" i="16"/>
  <c r="Y478" i="16"/>
  <c r="X478" i="16"/>
  <c r="W478" i="16"/>
  <c r="V478" i="16"/>
  <c r="U478" i="16"/>
  <c r="T478" i="16"/>
  <c r="S478" i="16"/>
  <c r="R478" i="16"/>
  <c r="Q478" i="16"/>
  <c r="P478" i="16"/>
  <c r="Y415" i="16"/>
  <c r="X415" i="16"/>
  <c r="W415" i="16"/>
  <c r="V415" i="16"/>
  <c r="U415" i="16"/>
  <c r="T415" i="16"/>
  <c r="S415" i="16"/>
  <c r="R415" i="16"/>
  <c r="Q415" i="16"/>
  <c r="P415" i="16"/>
  <c r="Y414" i="16"/>
  <c r="X414" i="16"/>
  <c r="W414" i="16"/>
  <c r="V414" i="16"/>
  <c r="U414" i="16"/>
  <c r="T414" i="16"/>
  <c r="S414" i="16"/>
  <c r="R414" i="16"/>
  <c r="Q414" i="16"/>
  <c r="P414" i="16"/>
  <c r="Y356" i="16"/>
  <c r="X356" i="16"/>
  <c r="W356" i="16"/>
  <c r="V356" i="16"/>
  <c r="U356" i="16"/>
  <c r="T356" i="16"/>
  <c r="S356" i="16"/>
  <c r="R356" i="16"/>
  <c r="Q356" i="16"/>
  <c r="P356" i="16"/>
  <c r="Y344" i="16"/>
  <c r="Y282" i="16" s="1"/>
  <c r="X344" i="16"/>
  <c r="X282" i="16" s="1"/>
  <c r="W344" i="16"/>
  <c r="W282" i="16" s="1"/>
  <c r="T344" i="16"/>
  <c r="T282" i="16" s="1"/>
  <c r="S344" i="16"/>
  <c r="S282" i="16" s="1"/>
  <c r="Q344" i="16"/>
  <c r="Q282" i="16" s="1"/>
  <c r="P344" i="16"/>
  <c r="P282" i="16" s="1"/>
  <c r="Y277" i="16" a="1"/>
  <c r="Y277" i="16" s="1"/>
  <c r="X277" i="16" a="1"/>
  <c r="X277" i="16" s="1"/>
  <c r="W277" i="16" a="1"/>
  <c r="W277" i="16" s="1"/>
  <c r="V277" i="16" a="1"/>
  <c r="V277" i="16" s="1"/>
  <c r="U277" i="16" a="1"/>
  <c r="U277" i="16" s="1"/>
  <c r="T277" i="16" a="1"/>
  <c r="T277" i="16" s="1"/>
  <c r="S277" i="16" a="1"/>
  <c r="S277" i="16" s="1"/>
  <c r="R277" i="16" a="1"/>
  <c r="R277" i="16" s="1"/>
  <c r="Q277" i="16" a="1"/>
  <c r="Q277" i="16" s="1"/>
  <c r="P277" i="16" a="1"/>
  <c r="P277" i="16" s="1"/>
  <c r="Y262" i="16"/>
  <c r="X262" i="16"/>
  <c r="W262" i="16"/>
  <c r="V262" i="16"/>
  <c r="U262" i="16"/>
  <c r="T262" i="16"/>
  <c r="S262" i="16"/>
  <c r="R262" i="16"/>
  <c r="Q262" i="16"/>
  <c r="P262" i="16"/>
  <c r="Y261" i="16"/>
  <c r="X261" i="16"/>
  <c r="W261" i="16"/>
  <c r="V261" i="16"/>
  <c r="U261" i="16"/>
  <c r="T261" i="16"/>
  <c r="S261" i="16"/>
  <c r="R261" i="16"/>
  <c r="Q261" i="16"/>
  <c r="P261" i="16"/>
  <c r="Y202" i="16"/>
  <c r="X202" i="16"/>
  <c r="W202" i="16"/>
  <c r="V202" i="16"/>
  <c r="U202" i="16"/>
  <c r="T202" i="16"/>
  <c r="S202" i="16"/>
  <c r="R202" i="16"/>
  <c r="Q202" i="16"/>
  <c r="P202" i="16"/>
  <c r="Y195" i="16"/>
  <c r="X195" i="16"/>
  <c r="W195" i="16"/>
  <c r="V195" i="16"/>
  <c r="U195" i="16"/>
  <c r="T195" i="16"/>
  <c r="S195" i="16"/>
  <c r="R195" i="16"/>
  <c r="Q195" i="16"/>
  <c r="P195" i="16"/>
  <c r="Y188" i="16"/>
  <c r="X188" i="16"/>
  <c r="W188" i="16"/>
  <c r="V188" i="16"/>
  <c r="U188" i="16"/>
  <c r="T188" i="16"/>
  <c r="S188" i="16"/>
  <c r="R188" i="16"/>
  <c r="Q188" i="16"/>
  <c r="P188" i="16"/>
  <c r="Y176" i="16"/>
  <c r="X176" i="16"/>
  <c r="W176" i="16"/>
  <c r="V176" i="16"/>
  <c r="U176" i="16"/>
  <c r="T176" i="16"/>
  <c r="S176" i="16"/>
  <c r="R176" i="16"/>
  <c r="Q176" i="16"/>
  <c r="P176" i="16"/>
  <c r="Y174" i="16"/>
  <c r="X174" i="16"/>
  <c r="W174" i="16"/>
  <c r="V174" i="16"/>
  <c r="U174" i="16"/>
  <c r="T174" i="16"/>
  <c r="S174" i="16"/>
  <c r="R174" i="16"/>
  <c r="Q174" i="16"/>
  <c r="P174" i="16"/>
  <c r="Y173" i="16"/>
  <c r="X173" i="16"/>
  <c r="W173" i="16"/>
  <c r="V173" i="16"/>
  <c r="U173" i="16"/>
  <c r="T173" i="16"/>
  <c r="S173" i="16"/>
  <c r="R173" i="16"/>
  <c r="Q173" i="16"/>
  <c r="P173" i="16"/>
  <c r="Y172" i="16"/>
  <c r="X172" i="16"/>
  <c r="W172" i="16"/>
  <c r="V172" i="16"/>
  <c r="U172" i="16"/>
  <c r="T172" i="16"/>
  <c r="S172" i="16"/>
  <c r="R172" i="16"/>
  <c r="Q172" i="16"/>
  <c r="P172" i="16"/>
  <c r="Y171" i="16"/>
  <c r="X171" i="16"/>
  <c r="W171" i="16"/>
  <c r="V171" i="16"/>
  <c r="U171" i="16"/>
  <c r="T171" i="16"/>
  <c r="S171" i="16"/>
  <c r="R171" i="16"/>
  <c r="Q171" i="16"/>
  <c r="P171" i="16"/>
  <c r="Y170" i="16"/>
  <c r="X170" i="16"/>
  <c r="W170" i="16"/>
  <c r="V170" i="16"/>
  <c r="U170" i="16"/>
  <c r="T170" i="16"/>
  <c r="S170" i="16"/>
  <c r="R170" i="16"/>
  <c r="Q170" i="16"/>
  <c r="P170" i="16"/>
  <c r="Y168" i="16"/>
  <c r="X168" i="16"/>
  <c r="W168" i="16"/>
  <c r="V168" i="16"/>
  <c r="U168" i="16"/>
  <c r="T168" i="16"/>
  <c r="S168" i="16"/>
  <c r="R168" i="16"/>
  <c r="Q168" i="16"/>
  <c r="P168" i="16"/>
  <c r="Y161" i="16"/>
  <c r="X161" i="16"/>
  <c r="W161" i="16"/>
  <c r="U161" i="16"/>
  <c r="T161" i="16"/>
  <c r="S161" i="16"/>
  <c r="Q161" i="16"/>
  <c r="P161" i="16"/>
  <c r="Y159" i="16"/>
  <c r="W159" i="16"/>
  <c r="V159" i="16"/>
  <c r="U159" i="16"/>
  <c r="S159" i="16"/>
  <c r="R159" i="16"/>
  <c r="Q159" i="16"/>
  <c r="O478" i="16"/>
  <c r="O415" i="16"/>
  <c r="O414" i="16"/>
  <c r="O356" i="16"/>
  <c r="O277" i="16" a="1"/>
  <c r="O277" i="16" s="1"/>
  <c r="O262" i="16"/>
  <c r="O261" i="16"/>
  <c r="O202" i="16"/>
  <c r="O195" i="16"/>
  <c r="O188" i="16"/>
  <c r="O176" i="16"/>
  <c r="O174" i="16"/>
  <c r="O173" i="16"/>
  <c r="O172" i="16"/>
  <c r="O171" i="16"/>
  <c r="O170" i="16"/>
  <c r="O168" i="16"/>
  <c r="O161" i="16"/>
  <c r="O159" i="16"/>
  <c r="AG506" i="16"/>
  <c r="K2" i="45"/>
  <c r="I275" i="16"/>
  <c r="I276" i="16" s="1"/>
  <c r="I274" i="16"/>
  <c r="AI274" i="16" s="1"/>
  <c r="J274" i="16" s="1"/>
  <c r="K274" i="16" s="1"/>
  <c r="I271" i="16"/>
  <c r="I174" i="16"/>
  <c r="I167" i="16"/>
  <c r="I166" i="16"/>
  <c r="BG166" i="16" s="1"/>
  <c r="BN166" i="16" s="1"/>
  <c r="AC159" i="16"/>
  <c r="I161" i="16"/>
  <c r="I158" i="16"/>
  <c r="BD158" i="16" s="1"/>
  <c r="BN158" i="16" s="1"/>
  <c r="BN162" i="16"/>
  <c r="BN160" i="16"/>
  <c r="BN159" i="16"/>
  <c r="BL158" i="16"/>
  <c r="BK158" i="16"/>
  <c r="BN157" i="16"/>
  <c r="BK157" i="16"/>
  <c r="I106" i="16"/>
  <c r="L23" i="44" s="1"/>
  <c r="I84" i="16"/>
  <c r="I74" i="16"/>
  <c r="BF74" i="16" s="1"/>
  <c r="BN74" i="16" s="1"/>
  <c r="I73" i="16"/>
  <c r="I16" i="16"/>
  <c r="I13" i="16"/>
  <c r="BC13" i="16" s="1"/>
  <c r="I9" i="16"/>
  <c r="I6" i="16"/>
  <c r="BD6" i="16" s="1"/>
  <c r="BN6" i="16" s="1"/>
  <c r="I5" i="16"/>
  <c r="BL127" i="16"/>
  <c r="BM127" i="16"/>
  <c r="BM126" i="16"/>
  <c r="L127" i="16"/>
  <c r="J127" i="16"/>
  <c r="BK127" i="16"/>
  <c r="J126" i="16"/>
  <c r="BK126" i="16"/>
  <c r="L126" i="16"/>
  <c r="BL126" i="16"/>
  <c r="AA161" i="16"/>
  <c r="N159" i="16"/>
  <c r="AA159" i="16"/>
  <c r="J21" i="37"/>
  <c r="K21" i="37" s="1"/>
  <c r="N21" i="37" s="1"/>
  <c r="J20" i="37"/>
  <c r="K20" i="37" s="1"/>
  <c r="J19" i="37"/>
  <c r="K19" i="37" s="1"/>
  <c r="N19" i="37" s="1"/>
  <c r="J18" i="37"/>
  <c r="K18" i="37" s="1"/>
  <c r="C22" i="37"/>
  <c r="D21" i="37" s="1"/>
  <c r="J12" i="37"/>
  <c r="K12" i="37" s="1"/>
  <c r="E13" i="37"/>
  <c r="F4" i="37" s="1"/>
  <c r="F29" i="33"/>
  <c r="F30" i="33" s="1"/>
  <c r="G30" i="33" s="1"/>
  <c r="I25" i="33"/>
  <c r="G25" i="33"/>
  <c r="F25" i="33"/>
  <c r="G24" i="33"/>
  <c r="F24" i="33"/>
  <c r="I20" i="33"/>
  <c r="E20" i="33"/>
  <c r="H20" i="33" s="1"/>
  <c r="I19" i="33"/>
  <c r="K19" i="33" s="1"/>
  <c r="E19" i="33"/>
  <c r="H19" i="33" s="1"/>
  <c r="I18" i="33"/>
  <c r="K18" i="33" s="1"/>
  <c r="E18" i="33"/>
  <c r="H18" i="33" s="1"/>
  <c r="K16" i="33"/>
  <c r="K15" i="33"/>
  <c r="K14" i="33"/>
  <c r="E14" i="33"/>
  <c r="E25" i="33" s="1"/>
  <c r="C14" i="33"/>
  <c r="C13" i="33"/>
  <c r="I13" i="33" s="1"/>
  <c r="K13" i="33" s="1"/>
  <c r="H8" i="33"/>
  <c r="H7" i="33" s="1"/>
  <c r="G8" i="33"/>
  <c r="G6" i="33" s="1"/>
  <c r="F8" i="33"/>
  <c r="F22" i="33" s="1"/>
  <c r="E8" i="33"/>
  <c r="E7" i="33" s="1"/>
  <c r="D8" i="33"/>
  <c r="D5" i="33" s="1"/>
  <c r="I5" i="33" s="1"/>
  <c r="EG7" i="54"/>
  <c r="AT15" i="27"/>
  <c r="H5" i="33"/>
  <c r="F6" i="33"/>
  <c r="G4" i="37"/>
  <c r="G5" i="37"/>
  <c r="G7" i="37"/>
  <c r="G10" i="37"/>
  <c r="G11" i="37"/>
  <c r="D19" i="37"/>
  <c r="D22" i="37"/>
  <c r="D20" i="37"/>
  <c r="D18" i="37"/>
  <c r="G8" i="37"/>
  <c r="H13" i="37"/>
  <c r="I9" i="37" s="1"/>
  <c r="L13" i="37"/>
  <c r="M5" i="37" s="1"/>
  <c r="J4" i="37"/>
  <c r="K4" i="37" s="1"/>
  <c r="N4" i="37" s="1"/>
  <c r="J5" i="37"/>
  <c r="K5" i="37"/>
  <c r="J6" i="37"/>
  <c r="K6" i="37" s="1"/>
  <c r="N6" i="37" s="1"/>
  <c r="J7" i="37"/>
  <c r="K7" i="37" s="1"/>
  <c r="N7" i="37" s="1"/>
  <c r="J8" i="37"/>
  <c r="K8" i="37" s="1"/>
  <c r="J9" i="37"/>
  <c r="K9" i="37" s="1"/>
  <c r="N9" i="37" s="1"/>
  <c r="J10" i="37"/>
  <c r="K10" i="37" s="1"/>
  <c r="N10" i="37" s="1"/>
  <c r="J11" i="37"/>
  <c r="K11" i="37" s="1"/>
  <c r="C13" i="37"/>
  <c r="D11" i="37" s="1"/>
  <c r="G18" i="37"/>
  <c r="G19" i="37"/>
  <c r="G20" i="37"/>
  <c r="G21" i="37"/>
  <c r="H22" i="37"/>
  <c r="I19" i="37" s="1"/>
  <c r="L22" i="37"/>
  <c r="M18" i="37" s="1"/>
  <c r="G6" i="37"/>
  <c r="G9" i="37"/>
  <c r="E22" i="37"/>
  <c r="G22" i="37" s="1"/>
  <c r="F21" i="37"/>
  <c r="C25" i="33"/>
  <c r="E23" i="33"/>
  <c r="F18" i="37"/>
  <c r="AL478" i="16"/>
  <c r="AK478" i="16"/>
  <c r="AJ478" i="16"/>
  <c r="AI478" i="16"/>
  <c r="AH478" i="16"/>
  <c r="AB478" i="16"/>
  <c r="BL478" i="16" s="1"/>
  <c r="AA478" i="16"/>
  <c r="AL344" i="16"/>
  <c r="AL282" i="16" s="1"/>
  <c r="AK344" i="16"/>
  <c r="AK282" i="16" s="1"/>
  <c r="AJ344" i="16"/>
  <c r="AJ282" i="16" s="1"/>
  <c r="AI344" i="16"/>
  <c r="AI282" i="16" s="1"/>
  <c r="AH344" i="16"/>
  <c r="AH282" i="16" s="1"/>
  <c r="AB344" i="16"/>
  <c r="AB282" i="16" s="1"/>
  <c r="BL282" i="16" s="1"/>
  <c r="AA344" i="16"/>
  <c r="AA282" i="16" s="1"/>
  <c r="N282" i="16"/>
  <c r="K11" i="45"/>
  <c r="AA261" i="16"/>
  <c r="AB261" i="16"/>
  <c r="AH261" i="16"/>
  <c r="AI261" i="16"/>
  <c r="AJ261" i="16"/>
  <c r="AK261" i="16"/>
  <c r="AL261" i="16"/>
  <c r="AA262" i="16"/>
  <c r="AB262" i="16"/>
  <c r="BL262" i="16" s="1"/>
  <c r="AH262" i="16"/>
  <c r="AI262" i="16"/>
  <c r="AJ262" i="16"/>
  <c r="AK262" i="16"/>
  <c r="AL262" i="16"/>
  <c r="N262" i="16"/>
  <c r="N261" i="16"/>
  <c r="BN192" i="16"/>
  <c r="BM192" i="16"/>
  <c r="BN156" i="16"/>
  <c r="BM163" i="16"/>
  <c r="BN163" i="16"/>
  <c r="BM164" i="16"/>
  <c r="BN164" i="16"/>
  <c r="BM165" i="16"/>
  <c r="BN165" i="16"/>
  <c r="BK166" i="16"/>
  <c r="BL166" i="16"/>
  <c r="I153" i="16"/>
  <c r="BG153" i="16" s="1"/>
  <c r="I156" i="16"/>
  <c r="L51" i="44" s="1"/>
  <c r="I163" i="16"/>
  <c r="T163" i="16" s="1"/>
  <c r="I164" i="16"/>
  <c r="L53" i="44" s="1"/>
  <c r="BM144" i="16"/>
  <c r="BN144" i="16"/>
  <c r="BM145" i="16"/>
  <c r="BN145" i="16"/>
  <c r="BM146" i="16"/>
  <c r="BN146" i="16"/>
  <c r="BM147" i="16"/>
  <c r="BN147" i="16"/>
  <c r="BM148" i="16"/>
  <c r="BN148" i="16"/>
  <c r="I144" i="16"/>
  <c r="I145" i="16"/>
  <c r="I146" i="16"/>
  <c r="I147" i="16"/>
  <c r="I148" i="16"/>
  <c r="AB263" i="16"/>
  <c r="L263" i="16" s="1"/>
  <c r="AH205" i="16"/>
  <c r="AI205" i="16"/>
  <c r="AJ205" i="16"/>
  <c r="AK205" i="16"/>
  <c r="AL205" i="16"/>
  <c r="I205" i="16"/>
  <c r="AL202" i="16"/>
  <c r="AK202" i="16"/>
  <c r="AJ202" i="16"/>
  <c r="AI202" i="16"/>
  <c r="AH202" i="16"/>
  <c r="BN206" i="16"/>
  <c r="J365" i="16"/>
  <c r="I365" i="16" s="1"/>
  <c r="K365" i="16" s="1"/>
  <c r="I362" i="16"/>
  <c r="K13" i="45" s="1"/>
  <c r="BK362" i="16"/>
  <c r="BL362" i="16"/>
  <c r="BM362" i="16"/>
  <c r="BN362" i="16"/>
  <c r="F34" i="55"/>
  <c r="E34" i="55"/>
  <c r="D33" i="55"/>
  <c r="D32" i="55"/>
  <c r="F28" i="55"/>
  <c r="E28" i="55"/>
  <c r="D28" i="55"/>
  <c r="EG47" i="54"/>
  <c r="EG46" i="54"/>
  <c r="EG45" i="54"/>
  <c r="EG44" i="54"/>
  <c r="EG43" i="54"/>
  <c r="EG42" i="54"/>
  <c r="EG8" i="54"/>
  <c r="EG9" i="54"/>
  <c r="EG10" i="54"/>
  <c r="EG11" i="54"/>
  <c r="EG12" i="54"/>
  <c r="EG13" i="54"/>
  <c r="EG14" i="54"/>
  <c r="EG15" i="54"/>
  <c r="EG16" i="54"/>
  <c r="EG17" i="54"/>
  <c r="EG18" i="54"/>
  <c r="EG19" i="54"/>
  <c r="EG20" i="54"/>
  <c r="EG21" i="54"/>
  <c r="EG22" i="54"/>
  <c r="EG23" i="54"/>
  <c r="EG24" i="54"/>
  <c r="EG25" i="54"/>
  <c r="EG26" i="54"/>
  <c r="EG27" i="54"/>
  <c r="EG28" i="54"/>
  <c r="EG29" i="54"/>
  <c r="EG30" i="54"/>
  <c r="EG31" i="54"/>
  <c r="EG32" i="54"/>
  <c r="EG33" i="54"/>
  <c r="EG34" i="54"/>
  <c r="EG35" i="54"/>
  <c r="EG36" i="54"/>
  <c r="EG37" i="54"/>
  <c r="EG38" i="54"/>
  <c r="EG39" i="54"/>
  <c r="EG40" i="54"/>
  <c r="BN352" i="16"/>
  <c r="BM352" i="16"/>
  <c r="BL352" i="16"/>
  <c r="BK352" i="16"/>
  <c r="L352" i="16"/>
  <c r="BM169" i="16"/>
  <c r="BN169" i="16"/>
  <c r="N170" i="16"/>
  <c r="AA170" i="16"/>
  <c r="BL170" i="16"/>
  <c r="BM170" i="16"/>
  <c r="BN170" i="16"/>
  <c r="N171" i="16"/>
  <c r="AA171" i="16"/>
  <c r="BL171" i="16"/>
  <c r="BM171" i="16"/>
  <c r="BN171" i="16"/>
  <c r="N172" i="16"/>
  <c r="AA172" i="16"/>
  <c r="BL172" i="16"/>
  <c r="BM172" i="16"/>
  <c r="BN172" i="16"/>
  <c r="N173" i="16"/>
  <c r="AA173" i="16"/>
  <c r="BL173" i="16"/>
  <c r="BM173" i="16"/>
  <c r="BN173" i="16"/>
  <c r="N176" i="16"/>
  <c r="AA176" i="16"/>
  <c r="BL176" i="16"/>
  <c r="BM176" i="16"/>
  <c r="BN176" i="16"/>
  <c r="BM85" i="16"/>
  <c r="BN85" i="16"/>
  <c r="BN200" i="16"/>
  <c r="BK200" i="16"/>
  <c r="BM200" i="16"/>
  <c r="BL200" i="16"/>
  <c r="L200" i="16"/>
  <c r="J200" i="16"/>
  <c r="K200" i="16" s="1"/>
  <c r="BN351" i="16"/>
  <c r="BM351" i="16"/>
  <c r="BL351" i="16"/>
  <c r="BN353" i="16"/>
  <c r="BM353" i="16"/>
  <c r="BL353" i="16"/>
  <c r="L353" i="16"/>
  <c r="BK351" i="16"/>
  <c r="BK353" i="16"/>
  <c r="AO195" i="16"/>
  <c r="L351" i="16"/>
  <c r="AL195" i="16"/>
  <c r="U8" i="53"/>
  <c r="U9" i="53"/>
  <c r="U10" i="53"/>
  <c r="U11" i="53"/>
  <c r="U12" i="53"/>
  <c r="U13" i="53"/>
  <c r="U14" i="53"/>
  <c r="U15" i="53"/>
  <c r="U16" i="53"/>
  <c r="U17" i="53"/>
  <c r="U18" i="53"/>
  <c r="U19" i="53"/>
  <c r="U20" i="53"/>
  <c r="U21" i="53"/>
  <c r="U22" i="53"/>
  <c r="U23" i="53"/>
  <c r="U24" i="53"/>
  <c r="U25" i="53"/>
  <c r="U26" i="53"/>
  <c r="U27" i="53"/>
  <c r="U28" i="53"/>
  <c r="U29" i="53"/>
  <c r="U30" i="53"/>
  <c r="U31" i="53"/>
  <c r="U32" i="53"/>
  <c r="U33" i="53"/>
  <c r="U34" i="53"/>
  <c r="U35" i="53"/>
  <c r="U36" i="53"/>
  <c r="U37" i="53"/>
  <c r="U38" i="53"/>
  <c r="U39" i="53"/>
  <c r="U40" i="53"/>
  <c r="U41" i="53"/>
  <c r="U42" i="53"/>
  <c r="U43" i="53"/>
  <c r="U44" i="53"/>
  <c r="U45" i="53"/>
  <c r="U46" i="53"/>
  <c r="U47" i="53"/>
  <c r="U48" i="53"/>
  <c r="U49" i="53"/>
  <c r="U50" i="53"/>
  <c r="U51" i="53"/>
  <c r="U52" i="53"/>
  <c r="U53" i="53"/>
  <c r="U54" i="53"/>
  <c r="U55" i="53"/>
  <c r="U56" i="53"/>
  <c r="U57" i="53"/>
  <c r="U58" i="53"/>
  <c r="U59" i="53"/>
  <c r="U60" i="53"/>
  <c r="U61" i="53"/>
  <c r="U62" i="53"/>
  <c r="U63" i="53"/>
  <c r="U64" i="53"/>
  <c r="U65" i="53"/>
  <c r="U66" i="53"/>
  <c r="U67" i="53"/>
  <c r="U68" i="53"/>
  <c r="U69" i="53"/>
  <c r="U70" i="53"/>
  <c r="U71" i="53"/>
  <c r="U72" i="53"/>
  <c r="U73" i="53"/>
  <c r="U74" i="53"/>
  <c r="U75" i="53"/>
  <c r="U76" i="53"/>
  <c r="U77" i="53"/>
  <c r="U78" i="53"/>
  <c r="U79" i="53"/>
  <c r="U80" i="53"/>
  <c r="U81" i="53"/>
  <c r="U82" i="53"/>
  <c r="U83" i="53"/>
  <c r="U84" i="53"/>
  <c r="U85" i="53"/>
  <c r="U86" i="53"/>
  <c r="U87" i="53"/>
  <c r="U88" i="53"/>
  <c r="U89" i="53"/>
  <c r="U90" i="53"/>
  <c r="U91" i="53"/>
  <c r="U92" i="53"/>
  <c r="U93" i="53"/>
  <c r="U94" i="53"/>
  <c r="U95" i="53"/>
  <c r="U96" i="53"/>
  <c r="U97" i="53"/>
  <c r="U98" i="53"/>
  <c r="U99" i="53"/>
  <c r="U100" i="53"/>
  <c r="U101" i="53"/>
  <c r="U102" i="53"/>
  <c r="U103" i="53"/>
  <c r="U104" i="53"/>
  <c r="U105" i="53"/>
  <c r="U106" i="53"/>
  <c r="U107" i="53"/>
  <c r="U108" i="53"/>
  <c r="U109" i="53"/>
  <c r="U110" i="53"/>
  <c r="U111" i="53"/>
  <c r="U112" i="53"/>
  <c r="U113" i="53"/>
  <c r="U114" i="53"/>
  <c r="U115" i="53"/>
  <c r="U116" i="53"/>
  <c r="U117" i="53"/>
  <c r="U118" i="53"/>
  <c r="U119" i="53"/>
  <c r="U120" i="53"/>
  <c r="U121" i="53"/>
  <c r="U122" i="53"/>
  <c r="U123" i="53"/>
  <c r="U124" i="53"/>
  <c r="U125" i="53"/>
  <c r="U126" i="53"/>
  <c r="U127" i="53"/>
  <c r="U128" i="53"/>
  <c r="U129" i="53"/>
  <c r="U130" i="53"/>
  <c r="U131" i="53"/>
  <c r="U132" i="53"/>
  <c r="U133" i="53"/>
  <c r="U134" i="53"/>
  <c r="U135" i="53"/>
  <c r="U136" i="53"/>
  <c r="U137" i="53"/>
  <c r="U138" i="53"/>
  <c r="U139" i="53"/>
  <c r="U140" i="53"/>
  <c r="U141" i="53"/>
  <c r="U142" i="53"/>
  <c r="U143" i="53"/>
  <c r="U144" i="53"/>
  <c r="U145" i="53"/>
  <c r="U146" i="53"/>
  <c r="U147" i="53"/>
  <c r="U148" i="53"/>
  <c r="U149" i="53"/>
  <c r="U150" i="53"/>
  <c r="U151" i="53"/>
  <c r="U152" i="53"/>
  <c r="U153" i="53"/>
  <c r="U154" i="53"/>
  <c r="U155" i="53"/>
  <c r="U156" i="53"/>
  <c r="U157" i="53"/>
  <c r="U158" i="53"/>
  <c r="U159" i="53"/>
  <c r="U160" i="53"/>
  <c r="U161" i="53"/>
  <c r="U162" i="53"/>
  <c r="U163" i="53"/>
  <c r="U164" i="53"/>
  <c r="U165" i="53"/>
  <c r="U166" i="53"/>
  <c r="U167" i="53"/>
  <c r="U168" i="53"/>
  <c r="U169" i="53"/>
  <c r="U170" i="53"/>
  <c r="U171" i="53"/>
  <c r="U172" i="53"/>
  <c r="U173" i="53"/>
  <c r="U174" i="53"/>
  <c r="U175" i="53"/>
  <c r="U176" i="53"/>
  <c r="U177" i="53"/>
  <c r="U178" i="53"/>
  <c r="U179" i="53"/>
  <c r="U180" i="53"/>
  <c r="U181" i="53"/>
  <c r="U182" i="53"/>
  <c r="U183" i="53"/>
  <c r="U184" i="53"/>
  <c r="U185" i="53"/>
  <c r="U186" i="53"/>
  <c r="U187" i="53"/>
  <c r="U188" i="53"/>
  <c r="U189" i="53"/>
  <c r="U190" i="53"/>
  <c r="U191" i="53"/>
  <c r="U192" i="53"/>
  <c r="U193" i="53"/>
  <c r="U194" i="53"/>
  <c r="U195" i="53"/>
  <c r="U196" i="53"/>
  <c r="U197" i="53"/>
  <c r="U198" i="53"/>
  <c r="U199" i="53"/>
  <c r="U200" i="53"/>
  <c r="U201" i="53"/>
  <c r="U202" i="53"/>
  <c r="U203" i="53"/>
  <c r="U204" i="53"/>
  <c r="U205" i="53"/>
  <c r="U206" i="53"/>
  <c r="U207" i="53"/>
  <c r="U208" i="53"/>
  <c r="U209" i="53"/>
  <c r="U210" i="53"/>
  <c r="U211" i="53"/>
  <c r="U212" i="53"/>
  <c r="U213" i="53"/>
  <c r="U214" i="53"/>
  <c r="U215" i="53"/>
  <c r="U216" i="53"/>
  <c r="U217" i="53"/>
  <c r="U218" i="53"/>
  <c r="U219" i="53"/>
  <c r="U220" i="53"/>
  <c r="U221" i="53"/>
  <c r="U222" i="53"/>
  <c r="U223" i="53"/>
  <c r="U224" i="53"/>
  <c r="U225" i="53"/>
  <c r="U226" i="53"/>
  <c r="U227" i="53"/>
  <c r="U228" i="53"/>
  <c r="U229" i="53"/>
  <c r="U7" i="53"/>
  <c r="AY500" i="16"/>
  <c r="AZ500" i="16"/>
  <c r="BA500" i="16"/>
  <c r="BC500" i="16"/>
  <c r="BF500" i="16"/>
  <c r="BJ500" i="16"/>
  <c r="AY501" i="16"/>
  <c r="AZ501" i="16"/>
  <c r="BA501" i="16"/>
  <c r="BB501" i="16"/>
  <c r="BD501" i="16"/>
  <c r="BE501" i="16"/>
  <c r="BG501" i="16"/>
  <c r="BH501" i="16"/>
  <c r="BJ501" i="16"/>
  <c r="BJ499" i="16"/>
  <c r="BC502" i="16"/>
  <c r="BD502" i="16"/>
  <c r="BE502" i="16"/>
  <c r="BF502" i="16"/>
  <c r="BI502" i="16"/>
  <c r="BJ502" i="16"/>
  <c r="BC504" i="16"/>
  <c r="BD504" i="16"/>
  <c r="BE504" i="16"/>
  <c r="BF504" i="16"/>
  <c r="BG504" i="16"/>
  <c r="BH504" i="16"/>
  <c r="BI504" i="16"/>
  <c r="BJ504" i="16"/>
  <c r="BC505" i="16"/>
  <c r="BD505" i="16"/>
  <c r="BE505" i="16"/>
  <c r="BF505" i="16"/>
  <c r="BG505" i="16"/>
  <c r="BH505" i="16"/>
  <c r="BI505" i="16"/>
  <c r="BJ505" i="16"/>
  <c r="BC506" i="16"/>
  <c r="BD506" i="16"/>
  <c r="BE506" i="16"/>
  <c r="BF506" i="16"/>
  <c r="BG506" i="16"/>
  <c r="BH506" i="16"/>
  <c r="BI506" i="16"/>
  <c r="BJ506" i="16"/>
  <c r="BE498" i="16"/>
  <c r="BJ498" i="16"/>
  <c r="N478" i="16"/>
  <c r="AL415" i="16"/>
  <c r="AK415" i="16"/>
  <c r="AJ415" i="16"/>
  <c r="AI415" i="16"/>
  <c r="AH415" i="16"/>
  <c r="AB415" i="16"/>
  <c r="BL415" i="16" s="1"/>
  <c r="AA415" i="16"/>
  <c r="N415" i="16"/>
  <c r="AL414" i="16"/>
  <c r="AK414" i="16"/>
  <c r="AJ414" i="16"/>
  <c r="AI414" i="16"/>
  <c r="AH414" i="16"/>
  <c r="AB414" i="16"/>
  <c r="BL414" i="16" s="1"/>
  <c r="AA414" i="16"/>
  <c r="N414" i="16"/>
  <c r="AK356" i="16"/>
  <c r="AJ356" i="16"/>
  <c r="AH356" i="16"/>
  <c r="AB356" i="16"/>
  <c r="BL356" i="16" s="1"/>
  <c r="AI356" i="16"/>
  <c r="AL356" i="16"/>
  <c r="I190" i="16"/>
  <c r="L66" i="44" s="1"/>
  <c r="BI500" i="16"/>
  <c r="BI501" i="16"/>
  <c r="BI499" i="16"/>
  <c r="BI498" i="16"/>
  <c r="AC174" i="16"/>
  <c r="BL174" i="16" s="1"/>
  <c r="AB168" i="16"/>
  <c r="AB169" i="16" s="1"/>
  <c r="Y169" i="16" s="1"/>
  <c r="BH502" i="16"/>
  <c r="I486" i="16"/>
  <c r="K15" i="45" s="1"/>
  <c r="K14" i="45"/>
  <c r="I355" i="16"/>
  <c r="K12" i="45" s="1"/>
  <c r="I270" i="16"/>
  <c r="K9" i="45" s="1"/>
  <c r="K5" i="45"/>
  <c r="I188" i="16"/>
  <c r="L67" i="44" s="1"/>
  <c r="I185" i="16"/>
  <c r="L64" i="44" s="1"/>
  <c r="I182" i="16"/>
  <c r="L61" i="44" s="1"/>
  <c r="I179" i="16"/>
  <c r="L58" i="44" s="1"/>
  <c r="I177" i="16"/>
  <c r="X177" i="16" s="1"/>
  <c r="I165" i="16"/>
  <c r="L54" i="44" s="1"/>
  <c r="I152" i="16"/>
  <c r="L47" i="44" s="1"/>
  <c r="I150" i="16"/>
  <c r="I149" i="16"/>
  <c r="L44" i="44" s="1"/>
  <c r="L43" i="44"/>
  <c r="I143" i="16"/>
  <c r="AB143" i="16" s="1"/>
  <c r="BL143" i="16" s="1"/>
  <c r="I142" i="16"/>
  <c r="L35" i="44" s="1"/>
  <c r="I141" i="16"/>
  <c r="L33" i="44" s="1"/>
  <c r="I140" i="16"/>
  <c r="L32" i="44" s="1"/>
  <c r="I138" i="16"/>
  <c r="L31" i="44" s="1"/>
  <c r="I137" i="16"/>
  <c r="L30" i="44" s="1"/>
  <c r="I116" i="16"/>
  <c r="L25" i="44" s="1"/>
  <c r="I101" i="16"/>
  <c r="L16" i="44" s="1"/>
  <c r="I98" i="16"/>
  <c r="I92" i="16"/>
  <c r="L13" i="44" s="1"/>
  <c r="AO205" i="16"/>
  <c r="AB277" i="16" a="1"/>
  <c r="AB277" i="16" s="1"/>
  <c r="BL277" i="16" s="1"/>
  <c r="AA277" i="16" a="1"/>
  <c r="AA277" i="16" s="1"/>
  <c r="N277" i="16" a="1"/>
  <c r="N277" i="16" s="1"/>
  <c r="BN131" i="16"/>
  <c r="BN130" i="16"/>
  <c r="BN5" i="16"/>
  <c r="BN7" i="16"/>
  <c r="BN8" i="16"/>
  <c r="BN10" i="16"/>
  <c r="BN12" i="16"/>
  <c r="BN14" i="16"/>
  <c r="BN15" i="16"/>
  <c r="BN17" i="16"/>
  <c r="BN19" i="16"/>
  <c r="BN20" i="16"/>
  <c r="BN21" i="16"/>
  <c r="BN22" i="16"/>
  <c r="BN23" i="16"/>
  <c r="BN24" i="16"/>
  <c r="BN25" i="16"/>
  <c r="BN26" i="16"/>
  <c r="BN27" i="16"/>
  <c r="BN28" i="16"/>
  <c r="BN29" i="16"/>
  <c r="BN30" i="16"/>
  <c r="BN31" i="16"/>
  <c r="BN32" i="16"/>
  <c r="BN33" i="16"/>
  <c r="BN34" i="16"/>
  <c r="BN35" i="16"/>
  <c r="BN36" i="16"/>
  <c r="BN37" i="16"/>
  <c r="BN38" i="16"/>
  <c r="BN39" i="16"/>
  <c r="BN40" i="16"/>
  <c r="BN41" i="16"/>
  <c r="BN42" i="16"/>
  <c r="BN43" i="16"/>
  <c r="BN44" i="16"/>
  <c r="BN45" i="16"/>
  <c r="BN46" i="16"/>
  <c r="BN47" i="16"/>
  <c r="BN48" i="16"/>
  <c r="BN49" i="16"/>
  <c r="BN50" i="16"/>
  <c r="BN51" i="16"/>
  <c r="BN52" i="16"/>
  <c r="BN53" i="16"/>
  <c r="BN54" i="16"/>
  <c r="BN55" i="16"/>
  <c r="BN56" i="16"/>
  <c r="BN57" i="16"/>
  <c r="BN58" i="16"/>
  <c r="BN59" i="16"/>
  <c r="BN60" i="16"/>
  <c r="BN61" i="16"/>
  <c r="BN62" i="16"/>
  <c r="BN63" i="16"/>
  <c r="BN64" i="16"/>
  <c r="BN65" i="16"/>
  <c r="BN66" i="16"/>
  <c r="BN67" i="16"/>
  <c r="BN68" i="16"/>
  <c r="BN69" i="16"/>
  <c r="BN70" i="16"/>
  <c r="BN71" i="16"/>
  <c r="BN73" i="16"/>
  <c r="BN75" i="16"/>
  <c r="BN76" i="16"/>
  <c r="BN78" i="16"/>
  <c r="BN84" i="16"/>
  <c r="BN99" i="16"/>
  <c r="BN100" i="16"/>
  <c r="BN137" i="16"/>
  <c r="BN138" i="16"/>
  <c r="BN140" i="16"/>
  <c r="BN141" i="16"/>
  <c r="BN142" i="16"/>
  <c r="BN143" i="16"/>
  <c r="BN149" i="16"/>
  <c r="BN150" i="16"/>
  <c r="BN152" i="16"/>
  <c r="BN168" i="16"/>
  <c r="BN175" i="16"/>
  <c r="BN186" i="16"/>
  <c r="BN187" i="16"/>
  <c r="BN189" i="16"/>
  <c r="BN190" i="16"/>
  <c r="BN194" i="16"/>
  <c r="BN195" i="16"/>
  <c r="BN196" i="16"/>
  <c r="BN197" i="16"/>
  <c r="BN198" i="16"/>
  <c r="BN199" i="16"/>
  <c r="BN201" i="16"/>
  <c r="BN202" i="16"/>
  <c r="BN203" i="16"/>
  <c r="BN204" i="16"/>
  <c r="BN205" i="16"/>
  <c r="BN207" i="16"/>
  <c r="BN208" i="16"/>
  <c r="BN209" i="16"/>
  <c r="BN211" i="16"/>
  <c r="BN212" i="16"/>
  <c r="BN213" i="16"/>
  <c r="BN214" i="16"/>
  <c r="BN215" i="16"/>
  <c r="BN216" i="16"/>
  <c r="BN217" i="16"/>
  <c r="BN218" i="16"/>
  <c r="BN219" i="16"/>
  <c r="BN220" i="16"/>
  <c r="BN221" i="16"/>
  <c r="BN222" i="16"/>
  <c r="BN223" i="16"/>
  <c r="BN224" i="16"/>
  <c r="BN225" i="16"/>
  <c r="BN226" i="16"/>
  <c r="BN227" i="16"/>
  <c r="BN228" i="16"/>
  <c r="BN229" i="16"/>
  <c r="BN230" i="16"/>
  <c r="BN231" i="16"/>
  <c r="BN232" i="16"/>
  <c r="BN233" i="16"/>
  <c r="BN234" i="16"/>
  <c r="BN235" i="16"/>
  <c r="BN236" i="16"/>
  <c r="BN237" i="16"/>
  <c r="BN238" i="16"/>
  <c r="BN239" i="16"/>
  <c r="BN240" i="16"/>
  <c r="BN241" i="16"/>
  <c r="BN242" i="16"/>
  <c r="BN243" i="16"/>
  <c r="BN244" i="16"/>
  <c r="BN245" i="16"/>
  <c r="BN246" i="16"/>
  <c r="BN247" i="16"/>
  <c r="BN248" i="16"/>
  <c r="BN249" i="16"/>
  <c r="BN250" i="16"/>
  <c r="BN251" i="16"/>
  <c r="BN252" i="16"/>
  <c r="BN253" i="16"/>
  <c r="BN254" i="16"/>
  <c r="BN255" i="16"/>
  <c r="BN256" i="16"/>
  <c r="BN257" i="16"/>
  <c r="BN259" i="16"/>
  <c r="BN260" i="16"/>
  <c r="BN261" i="16"/>
  <c r="BN262" i="16"/>
  <c r="BN263" i="16"/>
  <c r="BN264" i="16"/>
  <c r="BN265" i="16"/>
  <c r="BN266" i="16"/>
  <c r="BN267" i="16"/>
  <c r="BN268" i="16"/>
  <c r="BN269" i="16"/>
  <c r="BN270" i="16"/>
  <c r="BN271" i="16"/>
  <c r="BN272" i="16"/>
  <c r="BN273" i="16"/>
  <c r="BN274" i="16"/>
  <c r="BN275" i="16"/>
  <c r="BN276" i="16"/>
  <c r="BN277" i="16"/>
  <c r="BN278" i="16"/>
  <c r="BN279" i="16"/>
  <c r="BN280" i="16"/>
  <c r="BN281" i="16"/>
  <c r="BN282" i="16"/>
  <c r="BN283" i="16"/>
  <c r="BN284" i="16"/>
  <c r="BN285" i="16"/>
  <c r="BN286" i="16"/>
  <c r="BN287" i="16"/>
  <c r="BN288" i="16"/>
  <c r="BN289" i="16"/>
  <c r="BN290" i="16"/>
  <c r="BN291" i="16"/>
  <c r="BN292" i="16"/>
  <c r="BN293" i="16"/>
  <c r="BN294" i="16"/>
  <c r="BN295" i="16"/>
  <c r="BN296" i="16"/>
  <c r="BN297" i="16"/>
  <c r="BN298" i="16"/>
  <c r="BN299" i="16"/>
  <c r="BN300" i="16"/>
  <c r="BN301" i="16"/>
  <c r="BN302" i="16"/>
  <c r="BN303" i="16"/>
  <c r="BN304" i="16"/>
  <c r="BN305" i="16"/>
  <c r="BN306" i="16"/>
  <c r="BN307" i="16"/>
  <c r="BN308" i="16"/>
  <c r="BN309" i="16"/>
  <c r="BN310" i="16"/>
  <c r="BN311" i="16"/>
  <c r="BN312" i="16"/>
  <c r="BN313" i="16"/>
  <c r="BN314" i="16"/>
  <c r="BN315" i="16"/>
  <c r="BN316" i="16"/>
  <c r="BN317" i="16"/>
  <c r="BN318" i="16"/>
  <c r="BN319" i="16"/>
  <c r="BN320" i="16"/>
  <c r="BN321" i="16"/>
  <c r="BN322" i="16"/>
  <c r="BN323" i="16"/>
  <c r="BN324" i="16"/>
  <c r="BN325" i="16"/>
  <c r="BN326" i="16"/>
  <c r="BN327" i="16"/>
  <c r="BN328" i="16"/>
  <c r="BN329" i="16"/>
  <c r="BN330" i="16"/>
  <c r="BN331" i="16"/>
  <c r="BN332" i="16"/>
  <c r="BN333" i="16"/>
  <c r="BN334" i="16"/>
  <c r="BN335" i="16"/>
  <c r="BN336" i="16"/>
  <c r="BN337" i="16"/>
  <c r="BN338" i="16"/>
  <c r="BN339" i="16"/>
  <c r="BN340" i="16"/>
  <c r="BN341" i="16"/>
  <c r="BN342" i="16"/>
  <c r="BN343" i="16"/>
  <c r="BN344" i="16"/>
  <c r="BN345" i="16"/>
  <c r="BN346" i="16"/>
  <c r="BN347" i="16"/>
  <c r="BN348" i="16"/>
  <c r="BN349" i="16"/>
  <c r="BN350" i="16"/>
  <c r="BN354" i="16"/>
  <c r="BN355" i="16"/>
  <c r="BN356" i="16"/>
  <c r="BN357" i="16"/>
  <c r="BN358" i="16"/>
  <c r="BN359" i="16"/>
  <c r="BN360" i="16"/>
  <c r="BN361" i="16"/>
  <c r="BN363" i="16"/>
  <c r="BN364" i="16"/>
  <c r="BN365" i="16"/>
  <c r="BN366" i="16"/>
  <c r="BN367" i="16"/>
  <c r="BN368" i="16"/>
  <c r="BN369" i="16"/>
  <c r="BN370" i="16"/>
  <c r="BN371" i="16"/>
  <c r="BN372" i="16"/>
  <c r="BN373" i="16"/>
  <c r="BN374" i="16"/>
  <c r="BN375" i="16"/>
  <c r="BN376" i="16"/>
  <c r="BN377" i="16"/>
  <c r="BN378" i="16"/>
  <c r="BN379" i="16"/>
  <c r="BN380" i="16"/>
  <c r="BN381" i="16"/>
  <c r="BN382" i="16"/>
  <c r="BN383" i="16"/>
  <c r="BN384" i="16"/>
  <c r="BN385" i="16"/>
  <c r="BN386" i="16"/>
  <c r="BN387" i="16"/>
  <c r="BN388" i="16"/>
  <c r="BN389" i="16"/>
  <c r="BN390" i="16"/>
  <c r="BN391" i="16"/>
  <c r="BN392" i="16"/>
  <c r="BN393" i="16"/>
  <c r="BN394" i="16"/>
  <c r="BN395" i="16"/>
  <c r="BN396" i="16"/>
  <c r="BN397" i="16"/>
  <c r="BN398" i="16"/>
  <c r="BN399" i="16"/>
  <c r="BN400" i="16"/>
  <c r="BN401" i="16"/>
  <c r="BN402" i="16"/>
  <c r="BN403" i="16"/>
  <c r="BN404" i="16"/>
  <c r="BN405" i="16"/>
  <c r="BN406" i="16"/>
  <c r="BN407" i="16"/>
  <c r="BN408" i="16"/>
  <c r="BN409" i="16"/>
  <c r="BN410" i="16"/>
  <c r="BN411" i="16"/>
  <c r="BN412" i="16"/>
  <c r="BN413" i="16"/>
  <c r="BN414" i="16"/>
  <c r="BN415" i="16"/>
  <c r="BN416" i="16"/>
  <c r="BN417" i="16"/>
  <c r="BN418" i="16"/>
  <c r="BN419" i="16"/>
  <c r="BN420" i="16"/>
  <c r="BN421" i="16"/>
  <c r="BN422" i="16"/>
  <c r="BN423" i="16"/>
  <c r="BN424" i="16"/>
  <c r="BN425" i="16"/>
  <c r="BN426" i="16"/>
  <c r="BN427" i="16"/>
  <c r="BN428" i="16"/>
  <c r="BN429" i="16"/>
  <c r="BN430" i="16"/>
  <c r="BN431" i="16"/>
  <c r="BN432" i="16"/>
  <c r="BN433" i="16"/>
  <c r="BN434" i="16"/>
  <c r="BN435" i="16"/>
  <c r="BN436" i="16"/>
  <c r="BN437" i="16"/>
  <c r="BN438" i="16"/>
  <c r="BN439" i="16"/>
  <c r="BN440" i="16"/>
  <c r="BN441" i="16"/>
  <c r="BN442" i="16"/>
  <c r="BN443" i="16"/>
  <c r="BN444" i="16"/>
  <c r="BN445" i="16"/>
  <c r="BN446" i="16"/>
  <c r="BN447" i="16"/>
  <c r="BN448" i="16"/>
  <c r="BN449" i="16"/>
  <c r="BN450" i="16"/>
  <c r="BN451" i="16"/>
  <c r="BN452" i="16"/>
  <c r="BN453" i="16"/>
  <c r="BN454" i="16"/>
  <c r="BN455" i="16"/>
  <c r="BN456" i="16"/>
  <c r="BN457" i="16"/>
  <c r="BN458" i="16"/>
  <c r="BN459" i="16"/>
  <c r="BN460" i="16"/>
  <c r="BN461" i="16"/>
  <c r="BN462" i="16"/>
  <c r="BN463" i="16"/>
  <c r="BN464" i="16"/>
  <c r="BN465" i="16"/>
  <c r="BN466" i="16"/>
  <c r="BN467" i="16"/>
  <c r="BN468" i="16"/>
  <c r="BN469" i="16"/>
  <c r="BN470" i="16"/>
  <c r="BN471" i="16"/>
  <c r="BN472" i="16"/>
  <c r="BN473" i="16"/>
  <c r="BN474" i="16"/>
  <c r="BN475" i="16"/>
  <c r="BN476" i="16"/>
  <c r="BN477" i="16"/>
  <c r="BN478" i="16"/>
  <c r="BN479" i="16"/>
  <c r="BN480" i="16"/>
  <c r="BN481" i="16"/>
  <c r="BN482" i="16"/>
  <c r="BN483" i="16"/>
  <c r="BN484" i="16"/>
  <c r="BN485" i="16"/>
  <c r="BN486" i="16"/>
  <c r="BN487" i="16"/>
  <c r="BN488" i="16"/>
  <c r="BN489" i="16"/>
  <c r="BN490" i="16"/>
  <c r="BN491" i="16"/>
  <c r="BN492" i="16"/>
  <c r="BM16" i="16"/>
  <c r="BM17" i="16"/>
  <c r="BM19" i="16"/>
  <c r="BM20" i="16"/>
  <c r="BM21" i="16"/>
  <c r="BM22" i="16"/>
  <c r="BM23" i="16"/>
  <c r="BM24" i="16"/>
  <c r="BM25" i="16"/>
  <c r="BM26" i="16"/>
  <c r="BM27" i="16"/>
  <c r="BM28" i="16"/>
  <c r="BM29" i="16"/>
  <c r="BM30" i="16"/>
  <c r="BM31" i="16"/>
  <c r="BM32" i="16"/>
  <c r="BM33" i="16"/>
  <c r="BM34" i="16"/>
  <c r="BM35" i="16"/>
  <c r="BM36" i="16"/>
  <c r="BM37" i="16"/>
  <c r="BM38" i="16"/>
  <c r="BM39" i="16"/>
  <c r="BM40" i="16"/>
  <c r="BM41" i="16"/>
  <c r="BM42" i="16"/>
  <c r="BM43" i="16"/>
  <c r="BM44" i="16"/>
  <c r="BM45" i="16"/>
  <c r="BM46" i="16"/>
  <c r="BM47" i="16"/>
  <c r="BM48" i="16"/>
  <c r="BM49" i="16"/>
  <c r="BM50" i="16"/>
  <c r="BM51" i="16"/>
  <c r="BM52" i="16"/>
  <c r="BM53" i="16"/>
  <c r="BM54" i="16"/>
  <c r="BM55" i="16"/>
  <c r="BM56" i="16"/>
  <c r="BM57" i="16"/>
  <c r="BM58" i="16"/>
  <c r="BM59" i="16"/>
  <c r="BM61" i="16"/>
  <c r="BM62" i="16"/>
  <c r="BM63" i="16"/>
  <c r="BM64" i="16"/>
  <c r="BM65" i="16"/>
  <c r="BM66" i="16"/>
  <c r="BM67" i="16"/>
  <c r="BM68" i="16"/>
  <c r="BM69" i="16"/>
  <c r="BM70" i="16"/>
  <c r="BM71" i="16"/>
  <c r="BM77" i="16"/>
  <c r="BM78" i="16"/>
  <c r="BM107" i="16"/>
  <c r="BM108" i="16"/>
  <c r="BM109" i="16"/>
  <c r="BM110" i="16"/>
  <c r="BM111" i="16"/>
  <c r="BM112" i="16"/>
  <c r="BM114" i="16"/>
  <c r="BM115" i="16"/>
  <c r="BM117" i="16"/>
  <c r="BM118" i="16"/>
  <c r="BM137" i="16"/>
  <c r="BM138" i="16"/>
  <c r="BM142" i="16"/>
  <c r="BM149" i="16"/>
  <c r="BM150" i="16"/>
  <c r="BM152" i="16"/>
  <c r="BM174" i="16"/>
  <c r="BM177" i="16"/>
  <c r="BM189" i="16"/>
  <c r="BM190" i="16"/>
  <c r="BM196" i="16"/>
  <c r="BM197" i="16"/>
  <c r="BM198" i="16"/>
  <c r="BM199" i="16"/>
  <c r="BM204" i="16"/>
  <c r="BM209" i="16"/>
  <c r="BM211" i="16"/>
  <c r="BM212" i="16"/>
  <c r="BM213" i="16"/>
  <c r="BM214" i="16"/>
  <c r="BM215" i="16"/>
  <c r="BM216" i="16"/>
  <c r="BM217" i="16"/>
  <c r="BM218" i="16"/>
  <c r="BM219" i="16"/>
  <c r="BM220" i="16"/>
  <c r="BM221" i="16"/>
  <c r="BM222" i="16"/>
  <c r="BM223" i="16"/>
  <c r="BM224" i="16"/>
  <c r="BM225" i="16"/>
  <c r="BM226" i="16"/>
  <c r="BM227" i="16"/>
  <c r="BM228" i="16"/>
  <c r="BM229" i="16"/>
  <c r="BM230" i="16"/>
  <c r="BM231" i="16"/>
  <c r="BM232" i="16"/>
  <c r="BM233" i="16"/>
  <c r="BM234" i="16"/>
  <c r="BM235" i="16"/>
  <c r="BM236" i="16"/>
  <c r="BM237" i="16"/>
  <c r="BM238" i="16"/>
  <c r="BM239" i="16"/>
  <c r="BM240" i="16"/>
  <c r="BM241" i="16"/>
  <c r="BM242" i="16"/>
  <c r="BM243" i="16"/>
  <c r="BM244" i="16"/>
  <c r="BM245" i="16"/>
  <c r="BM246" i="16"/>
  <c r="BM247" i="16"/>
  <c r="BM248" i="16"/>
  <c r="BM249" i="16"/>
  <c r="BM250" i="16"/>
  <c r="BM251" i="16"/>
  <c r="BM252" i="16"/>
  <c r="BM253" i="16"/>
  <c r="BM254" i="16"/>
  <c r="BM255" i="16"/>
  <c r="BM256" i="16"/>
  <c r="BM257" i="16"/>
  <c r="BM259" i="16"/>
  <c r="BM260" i="16"/>
  <c r="BM263" i="16"/>
  <c r="BM264" i="16"/>
  <c r="BM277" i="16"/>
  <c r="BM278" i="16"/>
  <c r="BM279" i="16"/>
  <c r="BM280" i="16"/>
  <c r="BM281" i="16"/>
  <c r="BM283" i="16"/>
  <c r="BM284" i="16"/>
  <c r="BM285" i="16"/>
  <c r="BM286" i="16"/>
  <c r="BM287" i="16"/>
  <c r="BM288" i="16"/>
  <c r="BM289" i="16"/>
  <c r="BM290" i="16"/>
  <c r="BM291" i="16"/>
  <c r="BM292" i="16"/>
  <c r="BM293" i="16"/>
  <c r="BM294" i="16"/>
  <c r="BM295" i="16"/>
  <c r="BM296" i="16"/>
  <c r="BM297" i="16"/>
  <c r="BM298" i="16"/>
  <c r="BM299" i="16"/>
  <c r="BM300" i="16"/>
  <c r="BM301" i="16"/>
  <c r="BM302" i="16"/>
  <c r="BM303" i="16"/>
  <c r="BM304" i="16"/>
  <c r="BM305" i="16"/>
  <c r="BM306" i="16"/>
  <c r="BM307" i="16"/>
  <c r="BM308" i="16"/>
  <c r="BM309" i="16"/>
  <c r="BM310" i="16"/>
  <c r="BM311" i="16"/>
  <c r="BM312" i="16"/>
  <c r="BM313" i="16"/>
  <c r="BM314" i="16"/>
  <c r="BM315" i="16"/>
  <c r="BM316" i="16"/>
  <c r="BM317" i="16"/>
  <c r="BM318" i="16"/>
  <c r="BM319" i="16"/>
  <c r="BM320" i="16"/>
  <c r="BM321" i="16"/>
  <c r="BM322" i="16"/>
  <c r="BM323" i="16"/>
  <c r="BM324" i="16"/>
  <c r="BM325" i="16"/>
  <c r="BM326" i="16"/>
  <c r="BM327" i="16"/>
  <c r="BM328" i="16"/>
  <c r="BM329" i="16"/>
  <c r="BM330" i="16"/>
  <c r="BM331" i="16"/>
  <c r="BM332" i="16"/>
  <c r="BM333" i="16"/>
  <c r="BM334" i="16"/>
  <c r="BM335" i="16"/>
  <c r="BM336" i="16"/>
  <c r="BM337" i="16"/>
  <c r="BM338" i="16"/>
  <c r="BM339" i="16"/>
  <c r="BM340" i="16"/>
  <c r="BM341" i="16"/>
  <c r="BM342" i="16"/>
  <c r="BM343" i="16"/>
  <c r="BM345" i="16"/>
  <c r="BM346" i="16"/>
  <c r="BM347" i="16"/>
  <c r="BM348" i="16"/>
  <c r="BM349" i="16"/>
  <c r="BM350" i="16"/>
  <c r="BM354" i="16"/>
  <c r="BM357" i="16"/>
  <c r="BL6" i="16"/>
  <c r="BL12" i="16"/>
  <c r="BL13" i="16"/>
  <c r="BL20" i="16"/>
  <c r="BL21" i="16"/>
  <c r="BL22" i="16"/>
  <c r="BL23" i="16"/>
  <c r="BL24" i="16"/>
  <c r="BL25" i="16"/>
  <c r="BL26" i="16"/>
  <c r="BL27" i="16"/>
  <c r="BL28" i="16"/>
  <c r="BL29" i="16"/>
  <c r="BL30" i="16"/>
  <c r="BL31" i="16"/>
  <c r="BL32" i="16"/>
  <c r="BL33" i="16"/>
  <c r="BL34" i="16"/>
  <c r="BL35" i="16"/>
  <c r="BL36" i="16"/>
  <c r="BL37" i="16"/>
  <c r="BL38" i="16"/>
  <c r="BL39" i="16"/>
  <c r="BL40" i="16"/>
  <c r="BL41" i="16"/>
  <c r="BL42" i="16"/>
  <c r="BL43" i="16"/>
  <c r="BL44" i="16"/>
  <c r="BL45" i="16"/>
  <c r="BL46" i="16"/>
  <c r="BL47" i="16"/>
  <c r="BL48" i="16"/>
  <c r="BL49" i="16"/>
  <c r="BL50" i="16"/>
  <c r="BL51" i="16"/>
  <c r="BL52" i="16"/>
  <c r="BL53" i="16"/>
  <c r="BL54" i="16"/>
  <c r="BL55" i="16"/>
  <c r="BL56" i="16"/>
  <c r="BL57" i="16"/>
  <c r="BL58" i="16"/>
  <c r="BL59" i="16"/>
  <c r="BL60" i="16"/>
  <c r="BL61" i="16"/>
  <c r="BL62" i="16"/>
  <c r="BL63" i="16"/>
  <c r="BL64" i="16"/>
  <c r="BL65" i="16"/>
  <c r="BL66" i="16"/>
  <c r="BL67" i="16"/>
  <c r="BL68" i="16"/>
  <c r="BL69" i="16"/>
  <c r="BL70" i="16"/>
  <c r="BL71" i="16"/>
  <c r="BL73" i="16"/>
  <c r="BL74" i="16"/>
  <c r="BL137" i="16"/>
  <c r="BL138" i="16"/>
  <c r="BL140" i="16"/>
  <c r="BL150" i="16"/>
  <c r="BL152" i="16"/>
  <c r="BL167" i="16"/>
  <c r="BL189" i="16"/>
  <c r="BL190" i="16"/>
  <c r="BL196" i="16"/>
  <c r="BL197" i="16"/>
  <c r="BL198" i="16"/>
  <c r="BL199" i="16"/>
  <c r="BL209" i="16"/>
  <c r="BL211" i="16"/>
  <c r="BL212" i="16"/>
  <c r="BL213" i="16"/>
  <c r="BL214" i="16"/>
  <c r="BL215" i="16"/>
  <c r="BL216" i="16"/>
  <c r="BL217" i="16"/>
  <c r="BL218" i="16"/>
  <c r="BL219" i="16"/>
  <c r="BL220" i="16"/>
  <c r="BL221" i="16"/>
  <c r="BL222" i="16"/>
  <c r="BL223" i="16"/>
  <c r="BL224" i="16"/>
  <c r="BL225" i="16"/>
  <c r="BL226" i="16"/>
  <c r="BL227" i="16"/>
  <c r="BL228" i="16"/>
  <c r="BL229" i="16"/>
  <c r="BL230" i="16"/>
  <c r="BL231" i="16"/>
  <c r="BL232" i="16"/>
  <c r="BL233" i="16"/>
  <c r="BL234" i="16"/>
  <c r="BL235" i="16"/>
  <c r="BL236" i="16"/>
  <c r="BL237" i="16"/>
  <c r="BL238" i="16"/>
  <c r="BL239" i="16"/>
  <c r="BL240" i="16"/>
  <c r="BL241" i="16"/>
  <c r="BL242" i="16"/>
  <c r="BL243" i="16"/>
  <c r="BL244" i="16"/>
  <c r="BL245" i="16"/>
  <c r="BL246" i="16"/>
  <c r="BL247" i="16"/>
  <c r="BL248" i="16"/>
  <c r="BL249" i="16"/>
  <c r="BL250" i="16"/>
  <c r="BL251" i="16"/>
  <c r="BL252" i="16"/>
  <c r="BL253" i="16"/>
  <c r="BL254" i="16"/>
  <c r="BL255" i="16"/>
  <c r="BL256" i="16"/>
  <c r="BL257" i="16"/>
  <c r="BL259" i="16"/>
  <c r="BL260" i="16"/>
  <c r="BL264" i="16"/>
  <c r="BL265" i="16"/>
  <c r="BL266" i="16"/>
  <c r="BL267" i="16"/>
  <c r="BL268" i="16"/>
  <c r="BL269" i="16"/>
  <c r="BL270" i="16"/>
  <c r="BL271" i="16"/>
  <c r="BL272" i="16"/>
  <c r="BL273" i="16"/>
  <c r="BL274" i="16"/>
  <c r="BL278" i="16"/>
  <c r="BL279" i="16"/>
  <c r="BL280" i="16"/>
  <c r="BL281" i="16"/>
  <c r="BL283" i="16"/>
  <c r="BL284" i="16"/>
  <c r="BL285" i="16"/>
  <c r="BL286" i="16"/>
  <c r="BL287" i="16"/>
  <c r="BL288" i="16"/>
  <c r="BL289" i="16"/>
  <c r="BL290" i="16"/>
  <c r="BL291" i="16"/>
  <c r="BL292" i="16"/>
  <c r="BL293" i="16"/>
  <c r="BL294" i="16"/>
  <c r="BL295" i="16"/>
  <c r="BL296" i="16"/>
  <c r="BL297" i="16"/>
  <c r="BL298" i="16"/>
  <c r="BL299" i="16"/>
  <c r="BL300" i="16"/>
  <c r="BL301" i="16"/>
  <c r="BL302" i="16"/>
  <c r="BL303" i="16"/>
  <c r="BL304" i="16"/>
  <c r="BL305" i="16"/>
  <c r="BL306" i="16"/>
  <c r="BL307" i="16"/>
  <c r="BL308" i="16"/>
  <c r="BL309" i="16"/>
  <c r="BL310" i="16"/>
  <c r="BL311" i="16"/>
  <c r="BL312" i="16"/>
  <c r="BL313" i="16"/>
  <c r="BL314" i="16"/>
  <c r="BL315" i="16"/>
  <c r="BL316" i="16"/>
  <c r="BL317" i="16"/>
  <c r="BL318" i="16"/>
  <c r="BL319" i="16"/>
  <c r="BL320" i="16"/>
  <c r="BL321" i="16"/>
  <c r="BL322" i="16"/>
  <c r="BL323" i="16"/>
  <c r="BL324" i="16"/>
  <c r="BL325" i="16"/>
  <c r="BL326" i="16"/>
  <c r="BL327" i="16"/>
  <c r="BL328" i="16"/>
  <c r="BL329" i="16"/>
  <c r="BL330" i="16"/>
  <c r="BL331" i="16"/>
  <c r="BL332" i="16"/>
  <c r="BL333" i="16"/>
  <c r="BL334" i="16"/>
  <c r="BL335" i="16"/>
  <c r="BL336" i="16"/>
  <c r="BL337" i="16"/>
  <c r="BL338" i="16"/>
  <c r="BL339" i="16"/>
  <c r="BL340" i="16"/>
  <c r="BL341" i="16"/>
  <c r="BL342" i="16"/>
  <c r="BL343" i="16"/>
  <c r="BL345" i="16"/>
  <c r="BL346" i="16"/>
  <c r="BL347" i="16"/>
  <c r="BL348" i="16"/>
  <c r="BL349" i="16"/>
  <c r="BL350" i="16"/>
  <c r="BL354" i="16"/>
  <c r="BL363" i="16"/>
  <c r="BL364" i="16"/>
  <c r="BL365" i="16"/>
  <c r="BL366" i="16"/>
  <c r="BL367" i="16"/>
  <c r="BL368" i="16"/>
  <c r="BL369" i="16"/>
  <c r="BL370" i="16"/>
  <c r="BL371" i="16"/>
  <c r="BL372" i="16"/>
  <c r="BL373" i="16"/>
  <c r="BL374" i="16"/>
  <c r="BL375" i="16"/>
  <c r="BL376" i="16"/>
  <c r="BL377" i="16"/>
  <c r="BL378" i="16"/>
  <c r="BL379" i="16"/>
  <c r="BL380" i="16"/>
  <c r="BL381" i="16"/>
  <c r="BL382" i="16"/>
  <c r="BL383" i="16"/>
  <c r="BL384" i="16"/>
  <c r="BL385" i="16"/>
  <c r="BL386" i="16"/>
  <c r="BL387" i="16"/>
  <c r="BL388" i="16"/>
  <c r="BL389" i="16"/>
  <c r="BL390" i="16"/>
  <c r="BL391" i="16"/>
  <c r="BL392" i="16"/>
  <c r="BL393" i="16"/>
  <c r="BL394" i="16"/>
  <c r="BL395" i="16"/>
  <c r="BL396" i="16"/>
  <c r="BL397" i="16"/>
  <c r="BL398" i="16"/>
  <c r="BL399" i="16"/>
  <c r="BL400" i="16"/>
  <c r="BL401" i="16"/>
  <c r="BL402" i="16"/>
  <c r="BL403" i="16"/>
  <c r="BL404" i="16"/>
  <c r="BL405" i="16"/>
  <c r="BL406" i="16"/>
  <c r="BL407" i="16"/>
  <c r="BL408" i="16"/>
  <c r="BL409" i="16"/>
  <c r="BL410" i="16"/>
  <c r="BL412" i="16"/>
  <c r="BL413" i="16"/>
  <c r="BL416" i="16"/>
  <c r="BL417" i="16"/>
  <c r="BL418" i="16"/>
  <c r="BL419" i="16"/>
  <c r="BL420" i="16"/>
  <c r="BL421" i="16"/>
  <c r="BL422" i="16"/>
  <c r="BL423" i="16"/>
  <c r="BL424" i="16"/>
  <c r="BL425" i="16"/>
  <c r="BL426" i="16"/>
  <c r="BL427" i="16"/>
  <c r="BL428" i="16"/>
  <c r="BL429" i="16"/>
  <c r="BL430" i="16"/>
  <c r="BL431" i="16"/>
  <c r="BL432" i="16"/>
  <c r="BL433" i="16"/>
  <c r="BL434" i="16"/>
  <c r="BL435" i="16"/>
  <c r="BL436" i="16"/>
  <c r="BL437" i="16"/>
  <c r="BL438" i="16"/>
  <c r="BL439" i="16"/>
  <c r="BL440" i="16"/>
  <c r="BL441" i="16"/>
  <c r="BL442" i="16"/>
  <c r="BL443" i="16"/>
  <c r="BL444" i="16"/>
  <c r="BL445" i="16"/>
  <c r="BL446" i="16"/>
  <c r="BL447" i="16"/>
  <c r="BL448" i="16"/>
  <c r="BL449" i="16"/>
  <c r="BL450" i="16"/>
  <c r="BL451" i="16"/>
  <c r="BL452" i="16"/>
  <c r="BL453" i="16"/>
  <c r="BL454" i="16"/>
  <c r="BL455" i="16"/>
  <c r="BL456" i="16"/>
  <c r="BL457" i="16"/>
  <c r="BL458" i="16"/>
  <c r="BL459" i="16"/>
  <c r="BL460" i="16"/>
  <c r="BL461" i="16"/>
  <c r="BL462" i="16"/>
  <c r="BL463" i="16"/>
  <c r="BL464" i="16"/>
  <c r="BL465" i="16"/>
  <c r="BL466" i="16"/>
  <c r="BL467" i="16"/>
  <c r="BL468" i="16"/>
  <c r="BL469" i="16"/>
  <c r="BL470" i="16"/>
  <c r="BL471" i="16"/>
  <c r="BL472" i="16"/>
  <c r="BL473" i="16"/>
  <c r="BL474" i="16"/>
  <c r="BL475" i="16"/>
  <c r="BL476" i="16"/>
  <c r="BL477" i="16"/>
  <c r="BL479" i="16"/>
  <c r="BL480" i="16"/>
  <c r="BL481" i="16"/>
  <c r="BL482" i="16"/>
  <c r="BL483" i="16"/>
  <c r="BL484" i="16"/>
  <c r="BL485" i="16"/>
  <c r="BL486" i="16"/>
  <c r="BL487" i="16"/>
  <c r="BL488" i="16"/>
  <c r="BL489" i="16"/>
  <c r="BL490" i="16"/>
  <c r="BL491" i="16"/>
  <c r="BL492" i="16"/>
  <c r="BK5" i="16"/>
  <c r="BK6" i="16"/>
  <c r="BK12" i="16"/>
  <c r="BK13" i="16"/>
  <c r="BK20" i="16"/>
  <c r="BK21" i="16"/>
  <c r="BK22" i="16"/>
  <c r="BK23" i="16"/>
  <c r="BK24" i="16"/>
  <c r="BK25" i="16"/>
  <c r="BK26" i="16"/>
  <c r="BK27" i="16"/>
  <c r="BK28" i="16"/>
  <c r="BK29" i="16"/>
  <c r="BK30" i="16"/>
  <c r="BK31" i="16"/>
  <c r="BK32" i="16"/>
  <c r="BK33" i="16"/>
  <c r="BK34" i="16"/>
  <c r="BK35" i="16"/>
  <c r="BK36" i="16"/>
  <c r="BK37" i="16"/>
  <c r="BK38" i="16"/>
  <c r="BK39" i="16"/>
  <c r="BK40" i="16"/>
  <c r="BK41" i="16"/>
  <c r="BK42" i="16"/>
  <c r="BK43" i="16"/>
  <c r="BK44" i="16"/>
  <c r="BK45" i="16"/>
  <c r="BK46" i="16"/>
  <c r="BK47" i="16"/>
  <c r="BK48" i="16"/>
  <c r="BK49" i="16"/>
  <c r="BK50" i="16"/>
  <c r="BK51" i="16"/>
  <c r="BK52" i="16"/>
  <c r="BK53" i="16"/>
  <c r="BK54" i="16"/>
  <c r="BK55" i="16"/>
  <c r="BK56" i="16"/>
  <c r="BK57" i="16"/>
  <c r="BK58" i="16"/>
  <c r="BK59" i="16"/>
  <c r="BK60" i="16"/>
  <c r="BK61" i="16"/>
  <c r="BK62" i="16"/>
  <c r="BK63" i="16"/>
  <c r="BK64" i="16"/>
  <c r="BK65" i="16"/>
  <c r="BK66" i="16"/>
  <c r="BK67" i="16"/>
  <c r="BK68" i="16"/>
  <c r="BK69" i="16"/>
  <c r="BK70" i="16"/>
  <c r="BK71" i="16"/>
  <c r="BK73" i="16"/>
  <c r="BK74" i="16"/>
  <c r="BK138" i="16"/>
  <c r="BK140" i="16"/>
  <c r="BK150" i="16"/>
  <c r="BK167" i="16"/>
  <c r="BK189" i="16"/>
  <c r="BK190" i="16"/>
  <c r="BK211" i="16"/>
  <c r="BK212" i="16"/>
  <c r="BK213" i="16"/>
  <c r="BK214" i="16"/>
  <c r="BK215" i="16"/>
  <c r="BK216" i="16"/>
  <c r="BK217" i="16"/>
  <c r="BK218" i="16"/>
  <c r="BK219" i="16"/>
  <c r="BK220" i="16"/>
  <c r="BK221" i="16"/>
  <c r="BK222" i="16"/>
  <c r="BK223" i="16"/>
  <c r="BK224" i="16"/>
  <c r="BK225" i="16"/>
  <c r="BK226" i="16"/>
  <c r="BK227" i="16"/>
  <c r="BK228" i="16"/>
  <c r="BK229" i="16"/>
  <c r="BK230" i="16"/>
  <c r="BK231" i="16"/>
  <c r="BK232" i="16"/>
  <c r="BK233" i="16"/>
  <c r="BK234" i="16"/>
  <c r="BK235" i="16"/>
  <c r="BK236" i="16"/>
  <c r="BK237" i="16"/>
  <c r="BK238" i="16"/>
  <c r="BK239" i="16"/>
  <c r="BK240" i="16"/>
  <c r="BK241" i="16"/>
  <c r="BK242" i="16"/>
  <c r="BK243" i="16"/>
  <c r="BK244" i="16"/>
  <c r="BK245" i="16"/>
  <c r="BK246" i="16"/>
  <c r="BK247" i="16"/>
  <c r="BK248" i="16"/>
  <c r="BK249" i="16"/>
  <c r="BK250" i="16"/>
  <c r="BK251" i="16"/>
  <c r="BK252" i="16"/>
  <c r="BK253" i="16"/>
  <c r="BK254" i="16"/>
  <c r="BK255" i="16"/>
  <c r="BK256" i="16"/>
  <c r="BK257" i="16"/>
  <c r="BK259" i="16"/>
  <c r="BK260" i="16"/>
  <c r="BK263" i="16"/>
  <c r="BK264" i="16"/>
  <c r="BK265" i="16"/>
  <c r="BK266" i="16"/>
  <c r="BK267" i="16"/>
  <c r="BK268" i="16"/>
  <c r="BK269" i="16"/>
  <c r="BK270" i="16"/>
  <c r="BK271" i="16"/>
  <c r="BK272" i="16"/>
  <c r="BK273" i="16"/>
  <c r="BK274" i="16"/>
  <c r="BK278" i="16"/>
  <c r="BK279" i="16"/>
  <c r="BK280" i="16"/>
  <c r="BK281" i="16"/>
  <c r="BK283" i="16"/>
  <c r="BK284" i="16"/>
  <c r="BK285" i="16"/>
  <c r="BK286" i="16"/>
  <c r="BK287" i="16"/>
  <c r="BK288" i="16"/>
  <c r="BK289" i="16"/>
  <c r="BK290" i="16"/>
  <c r="BK291" i="16"/>
  <c r="BK292" i="16"/>
  <c r="BK293" i="16"/>
  <c r="BK294" i="16"/>
  <c r="BK295" i="16"/>
  <c r="BK296" i="16"/>
  <c r="BK297" i="16"/>
  <c r="BK298" i="16"/>
  <c r="BK299" i="16"/>
  <c r="BK300" i="16"/>
  <c r="BK301" i="16"/>
  <c r="BK302" i="16"/>
  <c r="BK303" i="16"/>
  <c r="BK304" i="16"/>
  <c r="BK305" i="16"/>
  <c r="BK306" i="16"/>
  <c r="BK307" i="16"/>
  <c r="BK308" i="16"/>
  <c r="BK309" i="16"/>
  <c r="BK310" i="16"/>
  <c r="BK311" i="16"/>
  <c r="BK312" i="16"/>
  <c r="BK313" i="16"/>
  <c r="BK314" i="16"/>
  <c r="BK315" i="16"/>
  <c r="BK316" i="16"/>
  <c r="BK317" i="16"/>
  <c r="BK318" i="16"/>
  <c r="BK319" i="16"/>
  <c r="BK320" i="16"/>
  <c r="BK321" i="16"/>
  <c r="BK322" i="16"/>
  <c r="BK323" i="16"/>
  <c r="BK324" i="16"/>
  <c r="BK325" i="16"/>
  <c r="BK326" i="16"/>
  <c r="BK327" i="16"/>
  <c r="BK328" i="16"/>
  <c r="BK329" i="16"/>
  <c r="BK330" i="16"/>
  <c r="BK331" i="16"/>
  <c r="BK332" i="16"/>
  <c r="BK333" i="16"/>
  <c r="BK334" i="16"/>
  <c r="BK335" i="16"/>
  <c r="BK336" i="16"/>
  <c r="BK337" i="16"/>
  <c r="BK338" i="16"/>
  <c r="BK339" i="16"/>
  <c r="BK340" i="16"/>
  <c r="BK341" i="16"/>
  <c r="BK342" i="16"/>
  <c r="BK343" i="16"/>
  <c r="BK345" i="16"/>
  <c r="BK346" i="16"/>
  <c r="BK347" i="16"/>
  <c r="BK348" i="16"/>
  <c r="BK349" i="16"/>
  <c r="BK350" i="16"/>
  <c r="BK354" i="16"/>
  <c r="BK364" i="16"/>
  <c r="BK365" i="16"/>
  <c r="BK366" i="16"/>
  <c r="BK367" i="16"/>
  <c r="BK368" i="16"/>
  <c r="BK369" i="16"/>
  <c r="BK370" i="16"/>
  <c r="BK371" i="16"/>
  <c r="BK372" i="16"/>
  <c r="BK373" i="16"/>
  <c r="BK374" i="16"/>
  <c r="BK375" i="16"/>
  <c r="BK376" i="16"/>
  <c r="BK377" i="16"/>
  <c r="BK378" i="16"/>
  <c r="BK379" i="16"/>
  <c r="BK380" i="16"/>
  <c r="BK381" i="16"/>
  <c r="BK382" i="16"/>
  <c r="BK383" i="16"/>
  <c r="BK384" i="16"/>
  <c r="BK385" i="16"/>
  <c r="BK386" i="16"/>
  <c r="BK387" i="16"/>
  <c r="BK388" i="16"/>
  <c r="BK389" i="16"/>
  <c r="BK390" i="16"/>
  <c r="BK391" i="16"/>
  <c r="BK392" i="16"/>
  <c r="BK393" i="16"/>
  <c r="BK394" i="16"/>
  <c r="BK395" i="16"/>
  <c r="BK396" i="16"/>
  <c r="BK397" i="16"/>
  <c r="BK398" i="16"/>
  <c r="BK399" i="16"/>
  <c r="BK400" i="16"/>
  <c r="BK401" i="16"/>
  <c r="BK402" i="16"/>
  <c r="BK403" i="16"/>
  <c r="BK404" i="16"/>
  <c r="BK405" i="16"/>
  <c r="BK406" i="16"/>
  <c r="BK407" i="16"/>
  <c r="BK408" i="16"/>
  <c r="BK409" i="16"/>
  <c r="BK410" i="16"/>
  <c r="BK412" i="16"/>
  <c r="BK413" i="16"/>
  <c r="BK416" i="16"/>
  <c r="BK417" i="16"/>
  <c r="BK418" i="16"/>
  <c r="BK419" i="16"/>
  <c r="BK420" i="16"/>
  <c r="BK421" i="16"/>
  <c r="BK422" i="16"/>
  <c r="BK423" i="16"/>
  <c r="BK424" i="16"/>
  <c r="BK425" i="16"/>
  <c r="BK426" i="16"/>
  <c r="BK427" i="16"/>
  <c r="BK428" i="16"/>
  <c r="BK429" i="16"/>
  <c r="BK430" i="16"/>
  <c r="BK431" i="16"/>
  <c r="BK432" i="16"/>
  <c r="BK433" i="16"/>
  <c r="BK434" i="16"/>
  <c r="BK435" i="16"/>
  <c r="BK436" i="16"/>
  <c r="BK437" i="16"/>
  <c r="BK438" i="16"/>
  <c r="BK439" i="16"/>
  <c r="BK440" i="16"/>
  <c r="BK441" i="16"/>
  <c r="BK442" i="16"/>
  <c r="BK443" i="16"/>
  <c r="BK444" i="16"/>
  <c r="BK445" i="16"/>
  <c r="BK446" i="16"/>
  <c r="BK447" i="16"/>
  <c r="BK448" i="16"/>
  <c r="BK449" i="16"/>
  <c r="BK450" i="16"/>
  <c r="BK451" i="16"/>
  <c r="BK452" i="16"/>
  <c r="BK453" i="16"/>
  <c r="BK454" i="16"/>
  <c r="BK455" i="16"/>
  <c r="BK456" i="16"/>
  <c r="BK457" i="16"/>
  <c r="BK458" i="16"/>
  <c r="BK459" i="16"/>
  <c r="BK460" i="16"/>
  <c r="BK461" i="16"/>
  <c r="BK462" i="16"/>
  <c r="BK463" i="16"/>
  <c r="BK464" i="16"/>
  <c r="BK465" i="16"/>
  <c r="BK466" i="16"/>
  <c r="BK467" i="16"/>
  <c r="BK468" i="16"/>
  <c r="BK469" i="16"/>
  <c r="BK470" i="16"/>
  <c r="BK471" i="16"/>
  <c r="BK472" i="16"/>
  <c r="BK473" i="16"/>
  <c r="BK474" i="16"/>
  <c r="BK475" i="16"/>
  <c r="BK476" i="16"/>
  <c r="BK477" i="16"/>
  <c r="BK479" i="16"/>
  <c r="BK480" i="16"/>
  <c r="BK481" i="16"/>
  <c r="BK482" i="16"/>
  <c r="BK483" i="16"/>
  <c r="BK484" i="16"/>
  <c r="BK485" i="16"/>
  <c r="BK486" i="16"/>
  <c r="BK487" i="16"/>
  <c r="BK488" i="16"/>
  <c r="BK489" i="16"/>
  <c r="BK490" i="16"/>
  <c r="BK491" i="16"/>
  <c r="BK492" i="16"/>
  <c r="E494" i="16"/>
  <c r="E493" i="16"/>
  <c r="E191" i="16"/>
  <c r="E151" i="16"/>
  <c r="E136" i="16"/>
  <c r="AP96" i="16"/>
  <c r="AR96" i="16"/>
  <c r="AS96" i="16"/>
  <c r="AS501" i="16" s="1"/>
  <c r="AT96" i="16"/>
  <c r="BL14" i="16"/>
  <c r="BM76" i="16"/>
  <c r="BL75" i="16"/>
  <c r="BL76" i="16"/>
  <c r="BL360" i="16"/>
  <c r="BL358" i="16"/>
  <c r="BL357" i="16"/>
  <c r="AO202" i="16"/>
  <c r="BM203" i="16"/>
  <c r="BL203" i="16"/>
  <c r="AP502" i="16"/>
  <c r="AS502" i="16"/>
  <c r="AT502" i="16"/>
  <c r="AV502" i="16"/>
  <c r="AW502" i="16"/>
  <c r="AX502" i="16"/>
  <c r="AY502" i="16"/>
  <c r="AZ502" i="16"/>
  <c r="BA502" i="16"/>
  <c r="BB502" i="16"/>
  <c r="AP504" i="16"/>
  <c r="AR504" i="16"/>
  <c r="AS504" i="16"/>
  <c r="AT504" i="16"/>
  <c r="AU504" i="16"/>
  <c r="AV504" i="16"/>
  <c r="AW504" i="16"/>
  <c r="AX504" i="16"/>
  <c r="AY504" i="16"/>
  <c r="AZ504" i="16"/>
  <c r="BA504" i="16"/>
  <c r="BB504" i="16"/>
  <c r="AR505" i="16"/>
  <c r="AS505" i="16"/>
  <c r="AT505" i="16"/>
  <c r="AU505" i="16"/>
  <c r="AV505" i="16"/>
  <c r="AW505" i="16"/>
  <c r="AX505" i="16"/>
  <c r="AY505" i="16"/>
  <c r="AZ505" i="16"/>
  <c r="BA505" i="16"/>
  <c r="BB505" i="16"/>
  <c r="AP506" i="16"/>
  <c r="AR506" i="16"/>
  <c r="AS506" i="16"/>
  <c r="AT506" i="16"/>
  <c r="AU506" i="16"/>
  <c r="AV506" i="16"/>
  <c r="AW506" i="16"/>
  <c r="AX506" i="16"/>
  <c r="AY506" i="16"/>
  <c r="AZ506" i="16"/>
  <c r="BA506" i="16"/>
  <c r="BB506" i="16"/>
  <c r="AH491" i="16"/>
  <c r="AH489" i="16"/>
  <c r="AH488" i="16"/>
  <c r="J488" i="16" s="1"/>
  <c r="K488" i="16" s="1"/>
  <c r="AI491" i="16"/>
  <c r="AI489" i="16"/>
  <c r="AI487" i="16" s="1"/>
  <c r="I487" i="16"/>
  <c r="I356" i="16"/>
  <c r="BM360" i="16"/>
  <c r="J137" i="16"/>
  <c r="L137" i="16"/>
  <c r="J138" i="16"/>
  <c r="L138" i="16"/>
  <c r="J150" i="16"/>
  <c r="L150" i="16"/>
  <c r="BJ188" i="16"/>
  <c r="BG188" i="16"/>
  <c r="BF188" i="16"/>
  <c r="BE188" i="16"/>
  <c r="BD188" i="16"/>
  <c r="BC188" i="16"/>
  <c r="BB188" i="16"/>
  <c r="BA188" i="16"/>
  <c r="AZ188" i="16"/>
  <c r="AY188" i="16"/>
  <c r="AX188" i="16"/>
  <c r="AW188" i="16"/>
  <c r="AV188" i="16"/>
  <c r="AU188" i="16"/>
  <c r="AT188" i="16"/>
  <c r="AS188" i="16"/>
  <c r="AR188" i="16"/>
  <c r="AP188" i="16"/>
  <c r="AO188" i="16"/>
  <c r="AL188" i="16"/>
  <c r="AK188" i="16"/>
  <c r="AJ188" i="16"/>
  <c r="AI188" i="16"/>
  <c r="AH188" i="16"/>
  <c r="AB188" i="16"/>
  <c r="BL188" i="16" s="1"/>
  <c r="BJ185" i="16"/>
  <c r="BG185" i="16"/>
  <c r="BF185" i="16"/>
  <c r="BE185" i="16"/>
  <c r="BD185" i="16"/>
  <c r="BC185" i="16"/>
  <c r="BB185" i="16"/>
  <c r="BA185" i="16"/>
  <c r="AZ185" i="16"/>
  <c r="AY185" i="16"/>
  <c r="AX185" i="16"/>
  <c r="AW185" i="16"/>
  <c r="AV185" i="16"/>
  <c r="AU185" i="16"/>
  <c r="AT185" i="16"/>
  <c r="AS185" i="16"/>
  <c r="AR185" i="16"/>
  <c r="AP185" i="16"/>
  <c r="BJ182" i="16"/>
  <c r="BG182" i="16"/>
  <c r="BF182" i="16"/>
  <c r="BE182" i="16"/>
  <c r="BD182" i="16"/>
  <c r="BC182" i="16"/>
  <c r="BB182" i="16"/>
  <c r="BA182" i="16"/>
  <c r="AZ182" i="16"/>
  <c r="AY182" i="16"/>
  <c r="AX182" i="16"/>
  <c r="AW182" i="16"/>
  <c r="AV182" i="16"/>
  <c r="AT182" i="16"/>
  <c r="AS182" i="16"/>
  <c r="AR182" i="16"/>
  <c r="AP182" i="16"/>
  <c r="BJ179" i="16"/>
  <c r="BG179" i="16"/>
  <c r="BF179" i="16"/>
  <c r="BE179" i="16"/>
  <c r="BD179" i="16"/>
  <c r="BC179" i="16"/>
  <c r="BB179" i="16"/>
  <c r="BA179" i="16"/>
  <c r="AZ179" i="16"/>
  <c r="AY179" i="16"/>
  <c r="AX179" i="16"/>
  <c r="AW179" i="16"/>
  <c r="AV179" i="16"/>
  <c r="AU179" i="16"/>
  <c r="AT179" i="16"/>
  <c r="AS179" i="16"/>
  <c r="AP179" i="16"/>
  <c r="J190" i="16"/>
  <c r="BM358" i="16"/>
  <c r="L190" i="16"/>
  <c r="J366" i="16"/>
  <c r="K366" i="16" s="1"/>
  <c r="BM366" i="16"/>
  <c r="L366" i="16"/>
  <c r="BM369" i="16"/>
  <c r="BM370" i="16"/>
  <c r="BM371" i="16"/>
  <c r="BM372" i="16"/>
  <c r="BM374" i="16"/>
  <c r="BM375" i="16"/>
  <c r="BM376" i="16"/>
  <c r="BM377" i="16"/>
  <c r="BM378" i="16"/>
  <c r="BM379" i="16"/>
  <c r="BM380" i="16"/>
  <c r="BM381" i="16"/>
  <c r="BM382" i="16"/>
  <c r="BM383" i="16"/>
  <c r="BM384" i="16"/>
  <c r="BM385" i="16"/>
  <c r="BM386" i="16"/>
  <c r="BM387" i="16"/>
  <c r="BM388" i="16"/>
  <c r="BM389" i="16"/>
  <c r="BM390" i="16"/>
  <c r="BM391" i="16"/>
  <c r="BM392" i="16"/>
  <c r="BM393" i="16"/>
  <c r="BM394" i="16"/>
  <c r="BM395" i="16"/>
  <c r="BM396" i="16"/>
  <c r="BM397" i="16"/>
  <c r="BM398" i="16"/>
  <c r="BM399" i="16"/>
  <c r="BM400" i="16"/>
  <c r="BM401" i="16"/>
  <c r="BM402" i="16"/>
  <c r="BM403" i="16"/>
  <c r="BM404" i="16"/>
  <c r="BM405" i="16"/>
  <c r="BM406" i="16"/>
  <c r="BM407" i="16"/>
  <c r="BM408" i="16"/>
  <c r="BM409" i="16"/>
  <c r="BM410" i="16"/>
  <c r="BM412" i="16"/>
  <c r="BM413" i="16"/>
  <c r="BM416" i="16"/>
  <c r="BM417" i="16"/>
  <c r="L482" i="16"/>
  <c r="BM482" i="16"/>
  <c r="L474" i="16"/>
  <c r="BM474" i="16"/>
  <c r="L465" i="16"/>
  <c r="BM465" i="16"/>
  <c r="J464" i="16"/>
  <c r="I464" i="16" s="1"/>
  <c r="K464" i="16" s="1"/>
  <c r="BM464" i="16"/>
  <c r="L470" i="16"/>
  <c r="BM470" i="16"/>
  <c r="L462" i="16"/>
  <c r="BM462" i="16"/>
  <c r="J454" i="16"/>
  <c r="I454" i="16" s="1"/>
  <c r="K454" i="16" s="1"/>
  <c r="BM454" i="16"/>
  <c r="J446" i="16"/>
  <c r="I446" i="16" s="1"/>
  <c r="K446" i="16" s="1"/>
  <c r="BM446" i="16"/>
  <c r="L438" i="16"/>
  <c r="BM438" i="16"/>
  <c r="L430" i="16"/>
  <c r="BM430" i="16"/>
  <c r="L422" i="16"/>
  <c r="BM422" i="16"/>
  <c r="L480" i="16"/>
  <c r="BM480" i="16"/>
  <c r="J456" i="16"/>
  <c r="I456" i="16" s="1"/>
  <c r="K456" i="16" s="1"/>
  <c r="BM456" i="16"/>
  <c r="J432" i="16"/>
  <c r="I432" i="16" s="1"/>
  <c r="K432" i="16" s="1"/>
  <c r="BM432" i="16"/>
  <c r="L479" i="16"/>
  <c r="BM479" i="16"/>
  <c r="L471" i="16"/>
  <c r="BM471" i="16"/>
  <c r="L463" i="16"/>
  <c r="BM463" i="16"/>
  <c r="L455" i="16"/>
  <c r="BM455" i="16"/>
  <c r="J447" i="16"/>
  <c r="I447" i="16" s="1"/>
  <c r="K447" i="16" s="1"/>
  <c r="BM447" i="16"/>
  <c r="L439" i="16"/>
  <c r="BM439" i="16"/>
  <c r="L431" i="16"/>
  <c r="BM431" i="16"/>
  <c r="J423" i="16"/>
  <c r="I423" i="16" s="1"/>
  <c r="K423" i="16" s="1"/>
  <c r="BM423" i="16"/>
  <c r="L485" i="16"/>
  <c r="BM485" i="16"/>
  <c r="J477" i="16"/>
  <c r="I477" i="16" s="1"/>
  <c r="K477" i="16" s="1"/>
  <c r="BM477" i="16"/>
  <c r="J469" i="16"/>
  <c r="I469" i="16" s="1"/>
  <c r="K469" i="16" s="1"/>
  <c r="BM469" i="16"/>
  <c r="L461" i="16"/>
  <c r="BM461" i="16"/>
  <c r="L453" i="16"/>
  <c r="BM453" i="16"/>
  <c r="L445" i="16"/>
  <c r="BM445" i="16"/>
  <c r="L437" i="16"/>
  <c r="BM437" i="16"/>
  <c r="L429" i="16"/>
  <c r="BM429" i="16"/>
  <c r="J421" i="16"/>
  <c r="I421" i="16" s="1"/>
  <c r="K421" i="16" s="1"/>
  <c r="BM421" i="16"/>
  <c r="L449" i="16"/>
  <c r="BM449" i="16"/>
  <c r="L433" i="16"/>
  <c r="BM433" i="16"/>
  <c r="L448" i="16"/>
  <c r="BM448" i="16"/>
  <c r="L484" i="16"/>
  <c r="BM484" i="16"/>
  <c r="L476" i="16"/>
  <c r="BM476" i="16"/>
  <c r="J468" i="16"/>
  <c r="I468" i="16" s="1"/>
  <c r="K468" i="16" s="1"/>
  <c r="BM468" i="16"/>
  <c r="L460" i="16"/>
  <c r="BM460" i="16"/>
  <c r="L452" i="16"/>
  <c r="BM452" i="16"/>
  <c r="J444" i="16"/>
  <c r="I444" i="16" s="1"/>
  <c r="K444" i="16" s="1"/>
  <c r="BM444" i="16"/>
  <c r="L436" i="16"/>
  <c r="BM436" i="16"/>
  <c r="J428" i="16"/>
  <c r="I428" i="16" s="1"/>
  <c r="K428" i="16" s="1"/>
  <c r="BM428" i="16"/>
  <c r="L420" i="16"/>
  <c r="BM420" i="16"/>
  <c r="J481" i="16"/>
  <c r="I481" i="16" s="1"/>
  <c r="K481" i="16" s="1"/>
  <c r="BM481" i="16"/>
  <c r="L457" i="16"/>
  <c r="BM457" i="16"/>
  <c r="J472" i="16"/>
  <c r="I472" i="16" s="1"/>
  <c r="K472" i="16" s="1"/>
  <c r="BM472" i="16"/>
  <c r="L483" i="16"/>
  <c r="BM483" i="16"/>
  <c r="L475" i="16"/>
  <c r="BM475" i="16"/>
  <c r="L467" i="16"/>
  <c r="BM467" i="16"/>
  <c r="J459" i="16"/>
  <c r="I459" i="16" s="1"/>
  <c r="K459" i="16" s="1"/>
  <c r="BM459" i="16"/>
  <c r="L451" i="16"/>
  <c r="BM451" i="16"/>
  <c r="L443" i="16"/>
  <c r="BM443" i="16"/>
  <c r="J435" i="16"/>
  <c r="I435" i="16" s="1"/>
  <c r="K435" i="16" s="1"/>
  <c r="BM435" i="16"/>
  <c r="L427" i="16"/>
  <c r="BM427" i="16"/>
  <c r="L419" i="16"/>
  <c r="BM419" i="16"/>
  <c r="J466" i="16"/>
  <c r="I466" i="16" s="1"/>
  <c r="K466" i="16" s="1"/>
  <c r="BM466" i="16"/>
  <c r="J458" i="16"/>
  <c r="I458" i="16" s="1"/>
  <c r="K458" i="16" s="1"/>
  <c r="BM458" i="16"/>
  <c r="L450" i="16"/>
  <c r="BM450" i="16"/>
  <c r="L442" i="16"/>
  <c r="BM442" i="16"/>
  <c r="L434" i="16"/>
  <c r="BM434" i="16"/>
  <c r="L426" i="16"/>
  <c r="BM426" i="16"/>
  <c r="L425" i="16"/>
  <c r="BM425" i="16"/>
  <c r="J473" i="16"/>
  <c r="I473" i="16" s="1"/>
  <c r="K473" i="16" s="1"/>
  <c r="BM473" i="16"/>
  <c r="L441" i="16"/>
  <c r="BM441" i="16"/>
  <c r="J440" i="16"/>
  <c r="I440" i="16" s="1"/>
  <c r="K440" i="16" s="1"/>
  <c r="BM440" i="16"/>
  <c r="J424" i="16"/>
  <c r="I424" i="16" s="1"/>
  <c r="K424" i="16" s="1"/>
  <c r="BM424" i="16"/>
  <c r="J434" i="16"/>
  <c r="I434" i="16" s="1"/>
  <c r="K434" i="16" s="1"/>
  <c r="J437" i="16"/>
  <c r="I437" i="16" s="1"/>
  <c r="K437" i="16" s="1"/>
  <c r="J429" i="16"/>
  <c r="I429" i="16" s="1"/>
  <c r="K429" i="16" s="1"/>
  <c r="L468" i="16"/>
  <c r="L428" i="16"/>
  <c r="J485" i="16"/>
  <c r="I485" i="16" s="1"/>
  <c r="K485" i="16" s="1"/>
  <c r="L446" i="16"/>
  <c r="J427" i="16"/>
  <c r="I427" i="16" s="1"/>
  <c r="K427" i="16" s="1"/>
  <c r="L469" i="16"/>
  <c r="J461" i="16"/>
  <c r="I461" i="16" s="1"/>
  <c r="K461" i="16" s="1"/>
  <c r="J430" i="16"/>
  <c r="I430" i="16" s="1"/>
  <c r="K430" i="16" s="1"/>
  <c r="J470" i="16"/>
  <c r="I470" i="16" s="1"/>
  <c r="K470" i="16" s="1"/>
  <c r="L444" i="16"/>
  <c r="J460" i="16"/>
  <c r="I460" i="16" s="1"/>
  <c r="K460" i="16" s="1"/>
  <c r="J420" i="16"/>
  <c r="I420" i="16" s="1"/>
  <c r="K420" i="16" s="1"/>
  <c r="J436" i="16"/>
  <c r="I436" i="16" s="1"/>
  <c r="K436" i="16" s="1"/>
  <c r="J467" i="16"/>
  <c r="I467" i="16" s="1"/>
  <c r="K467" i="16" s="1"/>
  <c r="J441" i="16"/>
  <c r="I441" i="16" s="1"/>
  <c r="K441" i="16" s="1"/>
  <c r="J453" i="16"/>
  <c r="I453" i="16" s="1"/>
  <c r="K453" i="16" s="1"/>
  <c r="J476" i="16"/>
  <c r="I476" i="16" s="1"/>
  <c r="K476" i="16" s="1"/>
  <c r="L477" i="16"/>
  <c r="J422" i="16"/>
  <c r="I422" i="16" s="1"/>
  <c r="K422" i="16" s="1"/>
  <c r="L454" i="16"/>
  <c r="J438" i="16"/>
  <c r="I438" i="16" s="1"/>
  <c r="K438" i="16" s="1"/>
  <c r="L447" i="16"/>
  <c r="L459" i="16"/>
  <c r="L440" i="16"/>
  <c r="J452" i="16"/>
  <c r="I452" i="16" s="1"/>
  <c r="K452" i="16" s="1"/>
  <c r="J471" i="16"/>
  <c r="I471" i="16" s="1"/>
  <c r="K471" i="16" s="1"/>
  <c r="J484" i="16"/>
  <c r="I484" i="16" s="1"/>
  <c r="K484" i="16" s="1"/>
  <c r="J455" i="16"/>
  <c r="I455" i="16" s="1"/>
  <c r="K455" i="16" s="1"/>
  <c r="L423" i="16"/>
  <c r="J431" i="16"/>
  <c r="I431" i="16" s="1"/>
  <c r="K431" i="16" s="1"/>
  <c r="J448" i="16"/>
  <c r="I448" i="16" s="1"/>
  <c r="K448" i="16" s="1"/>
  <c r="J479" i="16"/>
  <c r="I479" i="16" s="1"/>
  <c r="K479" i="16" s="1"/>
  <c r="L424" i="16"/>
  <c r="L432" i="16"/>
  <c r="L464" i="16"/>
  <c r="L472" i="16"/>
  <c r="L473" i="16"/>
  <c r="J426" i="16"/>
  <c r="I426" i="16" s="1"/>
  <c r="K426" i="16" s="1"/>
  <c r="J474" i="16"/>
  <c r="I474" i="16" s="1"/>
  <c r="K474" i="16" s="1"/>
  <c r="L466" i="16"/>
  <c r="J442" i="16"/>
  <c r="I442" i="16" s="1"/>
  <c r="K442" i="16" s="1"/>
  <c r="J463" i="16"/>
  <c r="I463" i="16" s="1"/>
  <c r="K463" i="16" s="1"/>
  <c r="L481" i="16"/>
  <c r="J425" i="16"/>
  <c r="I425" i="16" s="1"/>
  <c r="K425" i="16" s="1"/>
  <c r="J433" i="16"/>
  <c r="I433" i="16" s="1"/>
  <c r="K433" i="16" s="1"/>
  <c r="J439" i="16"/>
  <c r="I439" i="16" s="1"/>
  <c r="K439" i="16" s="1"/>
  <c r="J445" i="16"/>
  <c r="I445" i="16" s="1"/>
  <c r="K445" i="16" s="1"/>
  <c r="L456" i="16"/>
  <c r="J482" i="16"/>
  <c r="I482" i="16" s="1"/>
  <c r="K482" i="16" s="1"/>
  <c r="J449" i="16"/>
  <c r="I449" i="16" s="1"/>
  <c r="K449" i="16" s="1"/>
  <c r="J457" i="16"/>
  <c r="I457" i="16" s="1"/>
  <c r="K457" i="16" s="1"/>
  <c r="J475" i="16"/>
  <c r="I475" i="16" s="1"/>
  <c r="K475" i="16" s="1"/>
  <c r="J419" i="16"/>
  <c r="I419" i="16" s="1"/>
  <c r="K419" i="16" s="1"/>
  <c r="J450" i="16"/>
  <c r="I450" i="16" s="1"/>
  <c r="K450" i="16" s="1"/>
  <c r="J465" i="16"/>
  <c r="I465" i="16" s="1"/>
  <c r="K465" i="16" s="1"/>
  <c r="J483" i="16"/>
  <c r="I483" i="16" s="1"/>
  <c r="K483" i="16" s="1"/>
  <c r="J480" i="16"/>
  <c r="I480" i="16" s="1"/>
  <c r="K480" i="16" s="1"/>
  <c r="L435" i="16"/>
  <c r="J451" i="16"/>
  <c r="I451" i="16" s="1"/>
  <c r="K451" i="16" s="1"/>
  <c r="L458" i="16"/>
  <c r="J462" i="16"/>
  <c r="I462" i="16" s="1"/>
  <c r="K462" i="16" s="1"/>
  <c r="J443" i="16"/>
  <c r="I443" i="16" s="1"/>
  <c r="K443" i="16" s="1"/>
  <c r="J211" i="16"/>
  <c r="K211" i="16" s="1"/>
  <c r="L211" i="16"/>
  <c r="L212" i="16"/>
  <c r="L213" i="16"/>
  <c r="L214" i="16"/>
  <c r="L215" i="16"/>
  <c r="L216" i="16"/>
  <c r="L217" i="16"/>
  <c r="L218" i="16"/>
  <c r="L219" i="16"/>
  <c r="L220" i="16"/>
  <c r="L221" i="16"/>
  <c r="L222" i="16"/>
  <c r="L223" i="16"/>
  <c r="L224" i="16"/>
  <c r="L225" i="16"/>
  <c r="L226" i="16"/>
  <c r="L227" i="16"/>
  <c r="L228" i="16"/>
  <c r="L229" i="16"/>
  <c r="L230" i="16"/>
  <c r="L231" i="16"/>
  <c r="L232" i="16"/>
  <c r="L233" i="16"/>
  <c r="L234" i="16"/>
  <c r="L235" i="16"/>
  <c r="L236" i="16"/>
  <c r="L237" i="16"/>
  <c r="L238" i="16"/>
  <c r="L239" i="16"/>
  <c r="L240" i="16"/>
  <c r="L241" i="16"/>
  <c r="L242" i="16"/>
  <c r="L243" i="16"/>
  <c r="L244" i="16"/>
  <c r="L245" i="16"/>
  <c r="L246" i="16"/>
  <c r="L247" i="16"/>
  <c r="L248" i="16"/>
  <c r="L249" i="16"/>
  <c r="L250" i="16"/>
  <c r="L251" i="16"/>
  <c r="L252" i="16"/>
  <c r="L253" i="16"/>
  <c r="L254" i="16"/>
  <c r="L255" i="16"/>
  <c r="L256" i="16"/>
  <c r="L257" i="16"/>
  <c r="L259" i="16"/>
  <c r="L260" i="16"/>
  <c r="L264" i="16"/>
  <c r="I251" i="16"/>
  <c r="K251" i="16" s="1"/>
  <c r="I224" i="16"/>
  <c r="K224" i="16" s="1"/>
  <c r="AI359" i="16"/>
  <c r="AH359" i="16"/>
  <c r="I168" i="16"/>
  <c r="AL168" i="16" s="1"/>
  <c r="BM168" i="16" s="1"/>
  <c r="AJ359" i="16"/>
  <c r="AJ275" i="16"/>
  <c r="AJ506" i="16"/>
  <c r="AK359" i="16"/>
  <c r="AK275" i="16"/>
  <c r="AK506" i="16"/>
  <c r="AL359" i="16"/>
  <c r="AL275" i="16"/>
  <c r="AL506" i="16"/>
  <c r="BM361" i="16"/>
  <c r="AH275" i="16"/>
  <c r="BM141" i="16"/>
  <c r="BM143" i="16"/>
  <c r="BM365" i="16"/>
  <c r="BL149" i="16"/>
  <c r="L418" i="16"/>
  <c r="J418" i="16"/>
  <c r="K418" i="16" s="1"/>
  <c r="L365" i="16"/>
  <c r="BM418" i="16"/>
  <c r="I202" i="16"/>
  <c r="AP501" i="16"/>
  <c r="AB195" i="16"/>
  <c r="BL195" i="16" s="1"/>
  <c r="L283" i="16"/>
  <c r="L284" i="16"/>
  <c r="J402" i="16"/>
  <c r="I402" i="16" s="1"/>
  <c r="K402" i="16" s="1"/>
  <c r="L402" i="16"/>
  <c r="J278" i="16"/>
  <c r="K278" i="16" s="1"/>
  <c r="J279" i="16"/>
  <c r="K279" i="16" s="1"/>
  <c r="J280" i="16"/>
  <c r="K280" i="16" s="1"/>
  <c r="J281" i="16"/>
  <c r="K281" i="16" s="1"/>
  <c r="J369" i="16"/>
  <c r="I369" i="16" s="1"/>
  <c r="K369" i="16" s="1"/>
  <c r="J370" i="16"/>
  <c r="I370" i="16" s="1"/>
  <c r="K370" i="16" s="1"/>
  <c r="J371" i="16"/>
  <c r="I371" i="16" s="1"/>
  <c r="K371" i="16" s="1"/>
  <c r="J372" i="16"/>
  <c r="I372" i="16" s="1"/>
  <c r="K372" i="16" s="1"/>
  <c r="J374" i="16"/>
  <c r="I374" i="16" s="1"/>
  <c r="K374" i="16" s="1"/>
  <c r="J375" i="16"/>
  <c r="I375" i="16" s="1"/>
  <c r="K375" i="16" s="1"/>
  <c r="J376" i="16"/>
  <c r="I376" i="16" s="1"/>
  <c r="K376" i="16" s="1"/>
  <c r="J377" i="16"/>
  <c r="I377" i="16" s="1"/>
  <c r="J378" i="16"/>
  <c r="I378" i="16" s="1"/>
  <c r="K378" i="16" s="1"/>
  <c r="J379" i="16"/>
  <c r="I379" i="16" s="1"/>
  <c r="K379" i="16" s="1"/>
  <c r="J380" i="16"/>
  <c r="I380" i="16" s="1"/>
  <c r="K380" i="16" s="1"/>
  <c r="J381" i="16"/>
  <c r="I381" i="16" s="1"/>
  <c r="K381" i="16" s="1"/>
  <c r="J382" i="16"/>
  <c r="I382" i="16" s="1"/>
  <c r="K382" i="16" s="1"/>
  <c r="J383" i="16"/>
  <c r="I383" i="16" s="1"/>
  <c r="K383" i="16" s="1"/>
  <c r="J384" i="16"/>
  <c r="I384" i="16" s="1"/>
  <c r="K384" i="16" s="1"/>
  <c r="J385" i="16"/>
  <c r="I385" i="16" s="1"/>
  <c r="K385" i="16" s="1"/>
  <c r="J386" i="16"/>
  <c r="I386" i="16" s="1"/>
  <c r="K386" i="16" s="1"/>
  <c r="J387" i="16"/>
  <c r="I387" i="16" s="1"/>
  <c r="K387" i="16" s="1"/>
  <c r="J388" i="16"/>
  <c r="I388" i="16" s="1"/>
  <c r="K388" i="16" s="1"/>
  <c r="J389" i="16"/>
  <c r="I389" i="16" s="1"/>
  <c r="K389" i="16" s="1"/>
  <c r="J390" i="16"/>
  <c r="I390" i="16" s="1"/>
  <c r="K390" i="16" s="1"/>
  <c r="J391" i="16"/>
  <c r="I391" i="16" s="1"/>
  <c r="K391" i="16" s="1"/>
  <c r="J392" i="16"/>
  <c r="I392" i="16" s="1"/>
  <c r="K392" i="16" s="1"/>
  <c r="J393" i="16"/>
  <c r="I393" i="16" s="1"/>
  <c r="K393" i="16" s="1"/>
  <c r="J394" i="16"/>
  <c r="I394" i="16" s="1"/>
  <c r="K394" i="16" s="1"/>
  <c r="J395" i="16"/>
  <c r="I395" i="16" s="1"/>
  <c r="K395" i="16" s="1"/>
  <c r="J396" i="16"/>
  <c r="I396" i="16" s="1"/>
  <c r="K396" i="16" s="1"/>
  <c r="J397" i="16"/>
  <c r="I397" i="16" s="1"/>
  <c r="K397" i="16" s="1"/>
  <c r="J398" i="16"/>
  <c r="I398" i="16" s="1"/>
  <c r="K398" i="16" s="1"/>
  <c r="J399" i="16"/>
  <c r="I399" i="16" s="1"/>
  <c r="K399" i="16" s="1"/>
  <c r="J400" i="16"/>
  <c r="I400" i="16" s="1"/>
  <c r="K400" i="16" s="1"/>
  <c r="J401" i="16"/>
  <c r="I401" i="16" s="1"/>
  <c r="K401" i="16" s="1"/>
  <c r="J403" i="16"/>
  <c r="I403" i="16" s="1"/>
  <c r="K403" i="16" s="1"/>
  <c r="J404" i="16"/>
  <c r="I404" i="16" s="1"/>
  <c r="K404" i="16" s="1"/>
  <c r="J405" i="16"/>
  <c r="I405" i="16" s="1"/>
  <c r="K405" i="16" s="1"/>
  <c r="J406" i="16"/>
  <c r="I406" i="16" s="1"/>
  <c r="K406" i="16" s="1"/>
  <c r="J407" i="16"/>
  <c r="I407" i="16" s="1"/>
  <c r="K407" i="16" s="1"/>
  <c r="J408" i="16"/>
  <c r="I408" i="16" s="1"/>
  <c r="K408" i="16" s="1"/>
  <c r="J409" i="16"/>
  <c r="I409" i="16" s="1"/>
  <c r="K409" i="16" s="1"/>
  <c r="J410" i="16"/>
  <c r="I410" i="16" s="1"/>
  <c r="K410" i="16" s="1"/>
  <c r="J412" i="16"/>
  <c r="I412" i="16" s="1"/>
  <c r="K412" i="16" s="1"/>
  <c r="J413" i="16"/>
  <c r="I413" i="16" s="1"/>
  <c r="K413" i="16" s="1"/>
  <c r="J416" i="16"/>
  <c r="I416" i="16" s="1"/>
  <c r="K416" i="16" s="1"/>
  <c r="J417" i="16"/>
  <c r="I417" i="16" s="1"/>
  <c r="K417" i="16" s="1"/>
  <c r="L20" i="16"/>
  <c r="L21" i="16"/>
  <c r="L22" i="16"/>
  <c r="L23" i="16"/>
  <c r="L24" i="16"/>
  <c r="L25" i="16"/>
  <c r="L26" i="16"/>
  <c r="L27" i="16"/>
  <c r="L28" i="16"/>
  <c r="L29" i="16"/>
  <c r="L30" i="16"/>
  <c r="L31" i="16"/>
  <c r="L32" i="16"/>
  <c r="L33" i="16"/>
  <c r="L34" i="16"/>
  <c r="L35" i="16"/>
  <c r="L36" i="16"/>
  <c r="L37" i="16"/>
  <c r="L38" i="16"/>
  <c r="L39" i="16"/>
  <c r="L40" i="16"/>
  <c r="L41" i="16"/>
  <c r="L42" i="16"/>
  <c r="L43" i="16"/>
  <c r="L44" i="16"/>
  <c r="L45" i="16"/>
  <c r="L46" i="16"/>
  <c r="L47" i="16"/>
  <c r="L48" i="16"/>
  <c r="L49" i="16"/>
  <c r="L50" i="16"/>
  <c r="L51" i="16"/>
  <c r="L52" i="16"/>
  <c r="L53" i="16"/>
  <c r="L54" i="16"/>
  <c r="L55" i="16"/>
  <c r="L56" i="16"/>
  <c r="L57" i="16"/>
  <c r="L58" i="16"/>
  <c r="L59" i="16"/>
  <c r="L61" i="16"/>
  <c r="L62" i="16"/>
  <c r="L63" i="16"/>
  <c r="L64" i="16"/>
  <c r="L65" i="16"/>
  <c r="L66" i="16"/>
  <c r="L67" i="16"/>
  <c r="L68" i="16"/>
  <c r="L69" i="16"/>
  <c r="L70" i="16"/>
  <c r="L71" i="16"/>
  <c r="L101" i="16"/>
  <c r="L278" i="16"/>
  <c r="L279" i="16"/>
  <c r="L280" i="16"/>
  <c r="L281" i="16"/>
  <c r="L364" i="16"/>
  <c r="L369" i="16"/>
  <c r="L370" i="16"/>
  <c r="L371" i="16"/>
  <c r="L372" i="16"/>
  <c r="L374" i="16"/>
  <c r="L375" i="16"/>
  <c r="L376" i="16"/>
  <c r="L377" i="16"/>
  <c r="L378" i="16"/>
  <c r="L379" i="16"/>
  <c r="L380" i="16"/>
  <c r="L381" i="16"/>
  <c r="L382" i="16"/>
  <c r="L383" i="16"/>
  <c r="L384" i="16"/>
  <c r="L385" i="16"/>
  <c r="L386" i="16"/>
  <c r="L387" i="16"/>
  <c r="L388" i="16"/>
  <c r="L389" i="16"/>
  <c r="L390" i="16"/>
  <c r="L391" i="16"/>
  <c r="L392" i="16"/>
  <c r="L393" i="16"/>
  <c r="L394" i="16"/>
  <c r="L395" i="16"/>
  <c r="L396" i="16"/>
  <c r="L397" i="16"/>
  <c r="L398" i="16"/>
  <c r="L399" i="16"/>
  <c r="L400" i="16"/>
  <c r="L401" i="16"/>
  <c r="L403" i="16"/>
  <c r="L404" i="16"/>
  <c r="L405" i="16"/>
  <c r="L406" i="16"/>
  <c r="L407" i="16"/>
  <c r="L408" i="16"/>
  <c r="L409" i="16"/>
  <c r="L410" i="16"/>
  <c r="L412" i="16"/>
  <c r="L413" i="16"/>
  <c r="L416" i="16"/>
  <c r="L417" i="16"/>
  <c r="L285" i="16"/>
  <c r="L286" i="16"/>
  <c r="L287" i="16"/>
  <c r="L288" i="16"/>
  <c r="L289" i="16"/>
  <c r="L290" i="16"/>
  <c r="L291" i="16"/>
  <c r="L292" i="16"/>
  <c r="L293" i="16"/>
  <c r="L294" i="16"/>
  <c r="L295" i="16"/>
  <c r="L296" i="16"/>
  <c r="L297" i="16"/>
  <c r="L298" i="16"/>
  <c r="L299" i="16"/>
  <c r="L300" i="16"/>
  <c r="L301" i="16"/>
  <c r="L302" i="16"/>
  <c r="L303" i="16"/>
  <c r="L304" i="16"/>
  <c r="L305" i="16"/>
  <c r="L306" i="16"/>
  <c r="L307" i="16"/>
  <c r="L308" i="16"/>
  <c r="L309" i="16"/>
  <c r="L310" i="16"/>
  <c r="L311" i="16"/>
  <c r="L312" i="16"/>
  <c r="L313" i="16"/>
  <c r="L314" i="16"/>
  <c r="L315" i="16"/>
  <c r="L316" i="16"/>
  <c r="L317" i="16"/>
  <c r="L318" i="16"/>
  <c r="L319" i="16"/>
  <c r="L320" i="16"/>
  <c r="L321" i="16"/>
  <c r="L322" i="16"/>
  <c r="L323" i="16"/>
  <c r="L324" i="16"/>
  <c r="L325" i="16"/>
  <c r="L326" i="16"/>
  <c r="L327" i="16"/>
  <c r="L328" i="16"/>
  <c r="L329" i="16"/>
  <c r="L330" i="16"/>
  <c r="L331" i="16"/>
  <c r="L332" i="16"/>
  <c r="L333" i="16"/>
  <c r="L334" i="16"/>
  <c r="L335" i="16"/>
  <c r="L336" i="16"/>
  <c r="L337" i="16"/>
  <c r="L338" i="16"/>
  <c r="L339" i="16"/>
  <c r="L340" i="16"/>
  <c r="L341" i="16"/>
  <c r="L342" i="16"/>
  <c r="L343" i="16"/>
  <c r="L345" i="16"/>
  <c r="L346" i="16"/>
  <c r="L347" i="16"/>
  <c r="L348" i="16"/>
  <c r="L349" i="16"/>
  <c r="L350" i="16"/>
  <c r="L354" i="16"/>
  <c r="J20" i="16"/>
  <c r="I20" i="16" s="1"/>
  <c r="K20" i="16" s="1"/>
  <c r="J21" i="16"/>
  <c r="I21" i="16" s="1"/>
  <c r="K21" i="16" s="1"/>
  <c r="J22" i="16"/>
  <c r="I22" i="16" s="1"/>
  <c r="K22" i="16" s="1"/>
  <c r="J23" i="16"/>
  <c r="I23" i="16" s="1"/>
  <c r="K23" i="16" s="1"/>
  <c r="J24" i="16"/>
  <c r="I24" i="16" s="1"/>
  <c r="K24" i="16" s="1"/>
  <c r="J25" i="16"/>
  <c r="I25" i="16" s="1"/>
  <c r="K25" i="16" s="1"/>
  <c r="J26" i="16"/>
  <c r="I26" i="16" s="1"/>
  <c r="K26" i="16" s="1"/>
  <c r="J29" i="16"/>
  <c r="I29" i="16" s="1"/>
  <c r="K29" i="16" s="1"/>
  <c r="J30" i="16"/>
  <c r="I30" i="16" s="1"/>
  <c r="K30" i="16" s="1"/>
  <c r="J31" i="16"/>
  <c r="I31" i="16" s="1"/>
  <c r="K31" i="16" s="1"/>
  <c r="J32" i="16"/>
  <c r="I32" i="16" s="1"/>
  <c r="K32" i="16" s="1"/>
  <c r="J33" i="16"/>
  <c r="I33" i="16" s="1"/>
  <c r="K33" i="16" s="1"/>
  <c r="J34" i="16"/>
  <c r="I34" i="16" s="1"/>
  <c r="K34" i="16" s="1"/>
  <c r="J35" i="16"/>
  <c r="I35" i="16" s="1"/>
  <c r="K35" i="16" s="1"/>
  <c r="J36" i="16"/>
  <c r="I36" i="16" s="1"/>
  <c r="K36" i="16" s="1"/>
  <c r="J37" i="16"/>
  <c r="I37" i="16" s="1"/>
  <c r="K37" i="16" s="1"/>
  <c r="J38" i="16"/>
  <c r="I38" i="16" s="1"/>
  <c r="K38" i="16" s="1"/>
  <c r="J39" i="16"/>
  <c r="I39" i="16" s="1"/>
  <c r="K39" i="16" s="1"/>
  <c r="J40" i="16"/>
  <c r="I40" i="16" s="1"/>
  <c r="K40" i="16" s="1"/>
  <c r="J41" i="16"/>
  <c r="I41" i="16" s="1"/>
  <c r="K41" i="16" s="1"/>
  <c r="J42" i="16"/>
  <c r="I42" i="16" s="1"/>
  <c r="K42" i="16" s="1"/>
  <c r="J43" i="16"/>
  <c r="I43" i="16" s="1"/>
  <c r="K43" i="16" s="1"/>
  <c r="J44" i="16"/>
  <c r="I44" i="16" s="1"/>
  <c r="K44" i="16" s="1"/>
  <c r="J45" i="16"/>
  <c r="I45" i="16" s="1"/>
  <c r="K45" i="16" s="1"/>
  <c r="J46" i="16"/>
  <c r="I46" i="16" s="1"/>
  <c r="K46" i="16" s="1"/>
  <c r="J47" i="16"/>
  <c r="I47" i="16" s="1"/>
  <c r="K47" i="16" s="1"/>
  <c r="J48" i="16"/>
  <c r="I48" i="16" s="1"/>
  <c r="K48" i="16" s="1"/>
  <c r="J49" i="16"/>
  <c r="I49" i="16" s="1"/>
  <c r="K49" i="16" s="1"/>
  <c r="J50" i="16"/>
  <c r="I50" i="16" s="1"/>
  <c r="K50" i="16" s="1"/>
  <c r="J51" i="16"/>
  <c r="I51" i="16" s="1"/>
  <c r="K51" i="16" s="1"/>
  <c r="J52" i="16"/>
  <c r="I52" i="16" s="1"/>
  <c r="K52" i="16" s="1"/>
  <c r="J53" i="16"/>
  <c r="I53" i="16" s="1"/>
  <c r="K53" i="16" s="1"/>
  <c r="J54" i="16"/>
  <c r="I54" i="16" s="1"/>
  <c r="K54" i="16" s="1"/>
  <c r="I59" i="16"/>
  <c r="K59" i="16" s="1"/>
  <c r="I63" i="16"/>
  <c r="K63" i="16" s="1"/>
  <c r="J65" i="16"/>
  <c r="I65" i="16" s="1"/>
  <c r="K65" i="16" s="1"/>
  <c r="J66" i="16"/>
  <c r="I66" i="16" s="1"/>
  <c r="K66" i="16" s="1"/>
  <c r="J67" i="16"/>
  <c r="I67" i="16" s="1"/>
  <c r="K67" i="16" s="1"/>
  <c r="J68" i="16"/>
  <c r="I68" i="16" s="1"/>
  <c r="K68" i="16" s="1"/>
  <c r="J69" i="16"/>
  <c r="I69" i="16" s="1"/>
  <c r="K69" i="16" s="1"/>
  <c r="J70" i="16"/>
  <c r="I70" i="16" s="1"/>
  <c r="K70" i="16" s="1"/>
  <c r="J71" i="16"/>
  <c r="I71" i="16" s="1"/>
  <c r="K71" i="16" s="1"/>
  <c r="K28" i="16"/>
  <c r="BJ536" i="16"/>
  <c r="BJ535" i="16"/>
  <c r="BE174" i="16"/>
  <c r="AL167" i="16"/>
  <c r="J167" i="16" s="1"/>
  <c r="K167" i="16" s="1"/>
  <c r="BE167" i="16"/>
  <c r="BN167" i="16" s="1"/>
  <c r="AL166" i="16"/>
  <c r="J166" i="16" s="1"/>
  <c r="K166" i="16" s="1"/>
  <c r="BL77" i="16"/>
  <c r="BF498" i="16"/>
  <c r="AL6" i="16"/>
  <c r="J6" i="16" s="1"/>
  <c r="K6" i="16" s="1"/>
  <c r="AL73" i="16"/>
  <c r="J73" i="16" s="1"/>
  <c r="K73" i="16" s="1"/>
  <c r="BL78" i="16"/>
  <c r="BM15" i="16"/>
  <c r="AA168" i="16"/>
  <c r="N168" i="16"/>
  <c r="N174" i="16"/>
  <c r="AA174" i="16"/>
  <c r="AA195" i="16"/>
  <c r="BK196" i="16"/>
  <c r="N195" i="16"/>
  <c r="L196" i="16"/>
  <c r="J196" i="16"/>
  <c r="K196" i="16" s="1"/>
  <c r="BK199" i="16"/>
  <c r="J199" i="16"/>
  <c r="K199" i="16" s="1"/>
  <c r="L199" i="16"/>
  <c r="BK360" i="16"/>
  <c r="L360" i="16"/>
  <c r="AA356" i="16"/>
  <c r="BK203" i="16"/>
  <c r="J203" i="16"/>
  <c r="K203" i="16" s="1"/>
  <c r="L203" i="16"/>
  <c r="N356" i="16"/>
  <c r="BK357" i="16"/>
  <c r="L357" i="16"/>
  <c r="BK198" i="16"/>
  <c r="L198" i="16"/>
  <c r="J198" i="16"/>
  <c r="K198" i="16" s="1"/>
  <c r="BK197" i="16"/>
  <c r="J197" i="16"/>
  <c r="K197" i="16" s="1"/>
  <c r="L197" i="16"/>
  <c r="BK358" i="16"/>
  <c r="L358" i="16"/>
  <c r="BC16" i="16"/>
  <c r="J149" i="16"/>
  <c r="BK149" i="16"/>
  <c r="L149" i="16"/>
  <c r="BD9" i="16"/>
  <c r="BN9" i="16" s="1"/>
  <c r="BD498" i="16"/>
  <c r="BC498" i="16"/>
  <c r="AY499" i="16"/>
  <c r="BA499" i="16"/>
  <c r="AY498" i="16"/>
  <c r="BA498" i="16"/>
  <c r="AZ499" i="16"/>
  <c r="BL19" i="16"/>
  <c r="AA188" i="16"/>
  <c r="AZ498" i="16"/>
  <c r="BK19" i="16"/>
  <c r="L189" i="16"/>
  <c r="J189" i="16"/>
  <c r="L19" i="16"/>
  <c r="J19" i="16"/>
  <c r="K19" i="16" s="1"/>
  <c r="L204" i="16"/>
  <c r="BK204" i="16"/>
  <c r="N202" i="16"/>
  <c r="AA202" i="16"/>
  <c r="J204" i="16"/>
  <c r="K204" i="16" s="1"/>
  <c r="BL204" i="16"/>
  <c r="AB202" i="16"/>
  <c r="BL202" i="16" s="1"/>
  <c r="BM368" i="16"/>
  <c r="L368" i="16"/>
  <c r="J368" i="16"/>
  <c r="K368" i="16" s="1"/>
  <c r="I7" i="16" l="1"/>
  <c r="AL7" i="16" s="1"/>
  <c r="AL12" i="16"/>
  <c r="BM12" i="16" s="1"/>
  <c r="I14" i="16"/>
  <c r="AL14" i="16" s="1"/>
  <c r="L14" i="16" s="1"/>
  <c r="I4" i="37"/>
  <c r="M13" i="56"/>
  <c r="M17" i="56"/>
  <c r="M4" i="17"/>
  <c r="J12" i="17"/>
  <c r="J16" i="17" s="1"/>
  <c r="I8" i="37"/>
  <c r="BK14" i="16"/>
  <c r="BK77" i="16"/>
  <c r="E4" i="17"/>
  <c r="P88" i="16" s="1"/>
  <c r="I13" i="37"/>
  <c r="Q18" i="17"/>
  <c r="BK16" i="16"/>
  <c r="BK75" i="16"/>
  <c r="P18" i="17"/>
  <c r="AL5" i="16"/>
  <c r="J5" i="16" s="1"/>
  <c r="K5" i="16" s="1"/>
  <c r="R18" i="17"/>
  <c r="Z7" i="16"/>
  <c r="I12" i="37"/>
  <c r="R7" i="16"/>
  <c r="Z87" i="16"/>
  <c r="L12" i="17"/>
  <c r="H4" i="17"/>
  <c r="S88" i="16" s="1"/>
  <c r="D12" i="37"/>
  <c r="L10" i="36"/>
  <c r="O12" i="17"/>
  <c r="H12" i="17"/>
  <c r="K13" i="37"/>
  <c r="F31" i="33"/>
  <c r="F28" i="33"/>
  <c r="G28" i="33" s="1"/>
  <c r="G29" i="33"/>
  <c r="M16" i="56"/>
  <c r="J77" i="16"/>
  <c r="K77" i="16" s="1"/>
  <c r="Z88" i="16"/>
  <c r="W88" i="16"/>
  <c r="T87" i="16"/>
  <c r="AL13" i="16"/>
  <c r="J13" i="16" s="1"/>
  <c r="K13" i="16" s="1"/>
  <c r="AE88" i="16"/>
  <c r="AA88" i="16"/>
  <c r="N18" i="37"/>
  <c r="K22" i="37"/>
  <c r="AB17" i="16"/>
  <c r="J16" i="16"/>
  <c r="K16" i="16" s="1"/>
  <c r="BL16" i="16"/>
  <c r="D6" i="37"/>
  <c r="G22" i="33"/>
  <c r="M22" i="56"/>
  <c r="G18" i="17"/>
  <c r="D18" i="17"/>
  <c r="M19" i="37"/>
  <c r="D13" i="37"/>
  <c r="E5" i="33"/>
  <c r="C24" i="33"/>
  <c r="Z23" i="17"/>
  <c r="Y9" i="16"/>
  <c r="I18" i="17"/>
  <c r="D29" i="17"/>
  <c r="O207" i="16" s="1"/>
  <c r="M11" i="56"/>
  <c r="M15" i="56"/>
  <c r="S18" i="17"/>
  <c r="AO135" i="16"/>
  <c r="Y23" i="17"/>
  <c r="X7" i="16"/>
  <c r="N18" i="17"/>
  <c r="I29" i="17"/>
  <c r="T207" i="16" s="1"/>
  <c r="E13" i="33"/>
  <c r="E24" i="33" s="1"/>
  <c r="D8" i="37"/>
  <c r="D7" i="37"/>
  <c r="AI135" i="16"/>
  <c r="X23" i="17"/>
  <c r="V7" i="16"/>
  <c r="D12" i="17"/>
  <c r="I75" i="16"/>
  <c r="AL75" i="16" s="1"/>
  <c r="BM75" i="16" s="1"/>
  <c r="M4" i="37"/>
  <c r="M7" i="37"/>
  <c r="AD135" i="16"/>
  <c r="W23" i="17"/>
  <c r="AH105" i="16" s="1"/>
  <c r="U9" i="16"/>
  <c r="K18" i="17"/>
  <c r="AL74" i="16"/>
  <c r="BM74" i="16" s="1"/>
  <c r="M21" i="37"/>
  <c r="M20" i="37"/>
  <c r="L14" i="36"/>
  <c r="M20" i="56"/>
  <c r="M24" i="56"/>
  <c r="AC135" i="16"/>
  <c r="V23" i="17"/>
  <c r="T7" i="16"/>
  <c r="N12" i="17"/>
  <c r="AE12" i="17" s="1"/>
  <c r="K29" i="17"/>
  <c r="V207" i="16" s="1"/>
  <c r="I12" i="17"/>
  <c r="D5" i="37"/>
  <c r="G7" i="33"/>
  <c r="M22" i="37"/>
  <c r="F12" i="17"/>
  <c r="G5" i="33"/>
  <c r="H14" i="33"/>
  <c r="H25" i="33" s="1"/>
  <c r="L15" i="36"/>
  <c r="Q9" i="16"/>
  <c r="M25" i="56"/>
  <c r="S23" i="17"/>
  <c r="P7" i="16"/>
  <c r="E29" i="17"/>
  <c r="P207" i="16" s="1"/>
  <c r="BK174" i="16"/>
  <c r="I5" i="37"/>
  <c r="I33" i="31"/>
  <c r="L4" i="36"/>
  <c r="AD23" i="17"/>
  <c r="R23" i="17"/>
  <c r="AA9" i="16"/>
  <c r="D9" i="37"/>
  <c r="F9" i="37"/>
  <c r="G23" i="33"/>
  <c r="AC23" i="17"/>
  <c r="Q23" i="17"/>
  <c r="AA7" i="16"/>
  <c r="D34" i="55"/>
  <c r="D36" i="55" s="1"/>
  <c r="D39" i="55" s="1"/>
  <c r="AM501" i="16"/>
  <c r="AK355" i="16"/>
  <c r="L60" i="16"/>
  <c r="AJ97" i="16"/>
  <c r="AB165" i="16"/>
  <c r="BL165" i="16" s="1"/>
  <c r="AP500" i="16"/>
  <c r="I201" i="16"/>
  <c r="I194" i="16" s="1"/>
  <c r="AL93" i="16"/>
  <c r="BM60" i="16"/>
  <c r="J60" i="16"/>
  <c r="I60" i="16" s="1"/>
  <c r="K60" i="16" s="1"/>
  <c r="M13" i="37"/>
  <c r="M10" i="37"/>
  <c r="M6" i="37"/>
  <c r="M12" i="37"/>
  <c r="M11" i="37"/>
  <c r="M9" i="37"/>
  <c r="M8" i="37"/>
  <c r="H13" i="33"/>
  <c r="F23" i="33"/>
  <c r="F5" i="33"/>
  <c r="F7" i="33"/>
  <c r="AE19" i="17"/>
  <c r="K20" i="17" s="1"/>
  <c r="K21" i="17" s="1"/>
  <c r="V90" i="16" s="1"/>
  <c r="N89" i="16"/>
  <c r="X89" i="16"/>
  <c r="AB89" i="16"/>
  <c r="BL89" i="16" s="1"/>
  <c r="Q89" i="16"/>
  <c r="N22" i="37"/>
  <c r="N11" i="37"/>
  <c r="N8" i="37"/>
  <c r="N5" i="37"/>
  <c r="K20" i="33"/>
  <c r="I24" i="33"/>
  <c r="F11" i="37"/>
  <c r="F7" i="37"/>
  <c r="F13" i="37"/>
  <c r="F8" i="37"/>
  <c r="G13" i="37"/>
  <c r="N13" i="37"/>
  <c r="F12" i="37"/>
  <c r="F6" i="37"/>
  <c r="F10" i="37"/>
  <c r="F5" i="37"/>
  <c r="I18" i="37"/>
  <c r="I21" i="37"/>
  <c r="J22" i="37"/>
  <c r="I20" i="37"/>
  <c r="I22" i="37"/>
  <c r="K21" i="33"/>
  <c r="N12" i="37"/>
  <c r="N20" i="37"/>
  <c r="C6" i="17"/>
  <c r="C16" i="17" s="1"/>
  <c r="E6" i="17"/>
  <c r="P130" i="16" s="1"/>
  <c r="J6" i="17"/>
  <c r="U130" i="16" s="1"/>
  <c r="L6" i="17"/>
  <c r="W130" i="16" s="1"/>
  <c r="R6" i="17"/>
  <c r="G6" i="17"/>
  <c r="I6" i="17"/>
  <c r="N6" i="17"/>
  <c r="P6" i="17"/>
  <c r="AA145" i="16" s="1"/>
  <c r="S6" i="17"/>
  <c r="M6" i="17"/>
  <c r="H6" i="17"/>
  <c r="S130" i="16" s="1"/>
  <c r="Q6" i="17"/>
  <c r="AB134" i="16" s="1"/>
  <c r="D6" i="17"/>
  <c r="O130" i="16" s="1"/>
  <c r="K6" i="17"/>
  <c r="T6" i="17"/>
  <c r="AE130" i="16" s="1"/>
  <c r="X148" i="16"/>
  <c r="D7" i="33"/>
  <c r="I7" i="33" s="1"/>
  <c r="D6" i="33"/>
  <c r="I6" i="33" s="1"/>
  <c r="C8" i="17"/>
  <c r="N114" i="16" s="1"/>
  <c r="F8" i="17"/>
  <c r="Q276" i="16" s="1"/>
  <c r="J8" i="17"/>
  <c r="U78" i="16" s="1"/>
  <c r="N8" i="17"/>
  <c r="T8" i="17"/>
  <c r="AE162" i="16" s="1"/>
  <c r="E8" i="17"/>
  <c r="I8" i="17"/>
  <c r="M8" i="17"/>
  <c r="D8" i="17"/>
  <c r="O109" i="16" s="1"/>
  <c r="L8" i="17"/>
  <c r="S8" i="17"/>
  <c r="AD162" i="16" s="1"/>
  <c r="K8" i="17"/>
  <c r="R8" i="17"/>
  <c r="AC162" i="16" s="1"/>
  <c r="H8" i="17"/>
  <c r="S78" i="16" s="1"/>
  <c r="P8" i="17"/>
  <c r="AA103" i="16" s="1"/>
  <c r="Q8" i="17"/>
  <c r="F6" i="17"/>
  <c r="Q79" i="16" s="1"/>
  <c r="U147" i="16"/>
  <c r="I6" i="37"/>
  <c r="I7" i="37"/>
  <c r="J13" i="37"/>
  <c r="F22" i="37"/>
  <c r="I8" i="33"/>
  <c r="C22" i="33"/>
  <c r="I506" i="16"/>
  <c r="K27" i="56"/>
  <c r="M10" i="56"/>
  <c r="H27" i="56"/>
  <c r="AN18" i="16"/>
  <c r="AN91" i="16" s="1"/>
  <c r="AN501" i="16"/>
  <c r="G8" i="17"/>
  <c r="R102" i="16" s="1"/>
  <c r="O6" i="17"/>
  <c r="Z130" i="16" s="1"/>
  <c r="I10" i="37"/>
  <c r="D10" i="37"/>
  <c r="I11" i="37"/>
  <c r="F19" i="37"/>
  <c r="F20" i="37"/>
  <c r="D4" i="37"/>
  <c r="C23" i="33"/>
  <c r="E6" i="33"/>
  <c r="E22" i="33"/>
  <c r="H23" i="33"/>
  <c r="H6" i="33"/>
  <c r="Z162" i="16"/>
  <c r="AB159" i="16"/>
  <c r="AB161" i="16"/>
  <c r="AC161" i="16"/>
  <c r="BL161" i="16" s="1"/>
  <c r="V161" i="16"/>
  <c r="R161" i="16"/>
  <c r="X159" i="16"/>
  <c r="T159" i="16"/>
  <c r="P159" i="16"/>
  <c r="I157" i="16"/>
  <c r="I159" i="16" s="1"/>
  <c r="AL159" i="16" s="1"/>
  <c r="BM159" i="16" s="1"/>
  <c r="N161" i="16"/>
  <c r="U88" i="16"/>
  <c r="AE4" i="17"/>
  <c r="E16" i="17"/>
  <c r="L16" i="36"/>
  <c r="I129" i="16" s="1"/>
  <c r="I132" i="16" s="1"/>
  <c r="K132" i="16" s="1"/>
  <c r="AE99" i="16"/>
  <c r="AE93" i="16"/>
  <c r="Z78" i="16"/>
  <c r="V135" i="16"/>
  <c r="N135" i="16"/>
  <c r="AE135" i="16"/>
  <c r="AK135" i="16"/>
  <c r="AT135" i="16"/>
  <c r="BN135" i="16" s="1"/>
  <c r="Y135" i="16"/>
  <c r="AH135" i="16"/>
  <c r="AL135" i="16"/>
  <c r="N7" i="16"/>
  <c r="AC9" i="16"/>
  <c r="P9" i="16"/>
  <c r="R9" i="16"/>
  <c r="T9" i="16"/>
  <c r="V9" i="16"/>
  <c r="X9" i="16"/>
  <c r="AC7" i="16"/>
  <c r="BM7" i="16" s="1"/>
  <c r="O7" i="16"/>
  <c r="Q7" i="16"/>
  <c r="S7" i="16"/>
  <c r="U7" i="16"/>
  <c r="W7" i="16"/>
  <c r="Y7" i="16"/>
  <c r="Z9" i="16"/>
  <c r="D16" i="17"/>
  <c r="N88" i="16"/>
  <c r="R88" i="16"/>
  <c r="Y88" i="16"/>
  <c r="Q88" i="16"/>
  <c r="T88" i="16"/>
  <c r="V88" i="16"/>
  <c r="X88" i="16"/>
  <c r="N86" i="16"/>
  <c r="AA86" i="16"/>
  <c r="M21" i="56"/>
  <c r="M27" i="56" s="1"/>
  <c r="AJ135" i="16"/>
  <c r="P134" i="16"/>
  <c r="W9" i="16"/>
  <c r="S9" i="16"/>
  <c r="O9" i="16"/>
  <c r="L16" i="17"/>
  <c r="H16" i="17"/>
  <c r="S85" i="16" s="1"/>
  <c r="F18" i="17"/>
  <c r="H18" i="17"/>
  <c r="M18" i="17"/>
  <c r="T18" i="17"/>
  <c r="E18" i="17"/>
  <c r="J18" i="17"/>
  <c r="L18" i="17"/>
  <c r="O18" i="17"/>
  <c r="AA85" i="16"/>
  <c r="AB85" i="16"/>
  <c r="BL85" i="16" s="1"/>
  <c r="N111" i="16"/>
  <c r="N81" i="16"/>
  <c r="G29" i="17"/>
  <c r="R207" i="16" s="1"/>
  <c r="N104" i="16"/>
  <c r="R103" i="16"/>
  <c r="P80" i="16"/>
  <c r="T79" i="16"/>
  <c r="AI201" i="16"/>
  <c r="AG93" i="16"/>
  <c r="BL263" i="16"/>
  <c r="J266" i="16"/>
  <c r="K266" i="16" s="1"/>
  <c r="AL355" i="16"/>
  <c r="L125" i="16"/>
  <c r="L266" i="16"/>
  <c r="BM202" i="16"/>
  <c r="BM266" i="16"/>
  <c r="BK84" i="16"/>
  <c r="AD93" i="16"/>
  <c r="AO179" i="16"/>
  <c r="AG99" i="16"/>
  <c r="AM91" i="16"/>
  <c r="AJ99" i="16"/>
  <c r="J84" i="16"/>
  <c r="K84" i="16" s="1"/>
  <c r="AK96" i="16"/>
  <c r="L84" i="16"/>
  <c r="BN108" i="16"/>
  <c r="AQ119" i="16"/>
  <c r="BN119" i="16" s="1"/>
  <c r="BI507" i="16"/>
  <c r="AJ96" i="16"/>
  <c r="AJ95" i="16" s="1"/>
  <c r="L488" i="16"/>
  <c r="AK201" i="16"/>
  <c r="AD96" i="16"/>
  <c r="BM84" i="16"/>
  <c r="AG201" i="16"/>
  <c r="AH99" i="16"/>
  <c r="BK18" i="16"/>
  <c r="AL201" i="16"/>
  <c r="AL194" i="16" s="1"/>
  <c r="AH96" i="16"/>
  <c r="AG355" i="16"/>
  <c r="AH201" i="16"/>
  <c r="AE258" i="16"/>
  <c r="AE208" i="16" s="1"/>
  <c r="AK93" i="16"/>
  <c r="BC493" i="16"/>
  <c r="AW499" i="16"/>
  <c r="AW508" i="16" s="1"/>
  <c r="AW500" i="16"/>
  <c r="BN109" i="16"/>
  <c r="BF499" i="16"/>
  <c r="BF503" i="16" s="1"/>
  <c r="BL168" i="16"/>
  <c r="L174" i="16"/>
  <c r="T411" i="16"/>
  <c r="AK179" i="16"/>
  <c r="AG135" i="16"/>
  <c r="AF96" i="16"/>
  <c r="U135" i="16"/>
  <c r="X87" i="16"/>
  <c r="V87" i="16"/>
  <c r="BM13" i="16"/>
  <c r="AP116" i="16"/>
  <c r="BN116" i="16" s="1"/>
  <c r="AF135" i="16"/>
  <c r="AL99" i="16"/>
  <c r="AE96" i="16"/>
  <c r="J125" i="16"/>
  <c r="O135" i="16"/>
  <c r="S87" i="16"/>
  <c r="O88" i="16"/>
  <c r="AE179" i="16"/>
  <c r="Y87" i="16"/>
  <c r="AY191" i="16"/>
  <c r="AD179" i="16"/>
  <c r="AI99" i="16"/>
  <c r="W87" i="16"/>
  <c r="AC134" i="16"/>
  <c r="AC133" i="16" s="1"/>
  <c r="AI96" i="16"/>
  <c r="BL4" i="16"/>
  <c r="AA87" i="16"/>
  <c r="AF182" i="16"/>
  <c r="Z135" i="16"/>
  <c r="AJ92" i="16"/>
  <c r="AI94" i="16"/>
  <c r="AI92" i="16" s="1"/>
  <c r="AI91" i="16"/>
  <c r="AI97" i="16"/>
  <c r="AI134" i="16"/>
  <c r="AE134" i="16"/>
  <c r="U89" i="16"/>
  <c r="BK168" i="16"/>
  <c r="BN97" i="16"/>
  <c r="AO134" i="16"/>
  <c r="AO133" i="16" s="1"/>
  <c r="AH134" i="16"/>
  <c r="Y134" i="16"/>
  <c r="T111" i="16"/>
  <c r="S89" i="16"/>
  <c r="BE500" i="16"/>
  <c r="J263" i="16"/>
  <c r="I263" i="16" s="1"/>
  <c r="K263" i="16" s="1"/>
  <c r="V89" i="16"/>
  <c r="AG134" i="16"/>
  <c r="T135" i="16"/>
  <c r="Y89" i="16"/>
  <c r="U87" i="16"/>
  <c r="P89" i="16"/>
  <c r="AK134" i="16"/>
  <c r="S135" i="16"/>
  <c r="AA89" i="16"/>
  <c r="T89" i="16"/>
  <c r="AT134" i="16"/>
  <c r="AF134" i="16"/>
  <c r="S134" i="16"/>
  <c r="W89" i="16"/>
  <c r="R89" i="16"/>
  <c r="AB86" i="16"/>
  <c r="BL86" i="16" s="1"/>
  <c r="AA135" i="16"/>
  <c r="R135" i="16"/>
  <c r="Z89" i="16"/>
  <c r="O89" i="16"/>
  <c r="I267" i="16"/>
  <c r="I265" i="16" s="1"/>
  <c r="I504" i="16" s="1"/>
  <c r="L19" i="44"/>
  <c r="L57" i="44"/>
  <c r="L7" i="44"/>
  <c r="L8" i="44"/>
  <c r="AB80" i="16"/>
  <c r="BL80" i="16" s="1"/>
  <c r="AW509" i="16"/>
  <c r="AJ186" i="16"/>
  <c r="AJ182" i="16"/>
  <c r="BK188" i="16"/>
  <c r="BK195" i="16"/>
  <c r="AH355" i="16"/>
  <c r="AH411" i="16"/>
  <c r="AH258" i="16"/>
  <c r="AH208" i="16" s="1"/>
  <c r="AF179" i="16"/>
  <c r="AX111" i="16"/>
  <c r="I112" i="16"/>
  <c r="O112" i="16" s="1"/>
  <c r="BE191" i="16"/>
  <c r="AB258" i="16"/>
  <c r="AJ179" i="16"/>
  <c r="AH179" i="16"/>
  <c r="AN179" i="16"/>
  <c r="AM201" i="16"/>
  <c r="AM194" i="16" s="1"/>
  <c r="BM207" i="16"/>
  <c r="AJ91" i="16"/>
  <c r="AW107" i="16"/>
  <c r="BK125" i="16"/>
  <c r="L188" i="16"/>
  <c r="BN117" i="16"/>
  <c r="BF191" i="16"/>
  <c r="BM489" i="16"/>
  <c r="AJ201" i="16"/>
  <c r="AL179" i="16"/>
  <c r="AB111" i="16"/>
  <c r="BL111" i="16" s="1"/>
  <c r="AC411" i="16"/>
  <c r="AP499" i="16"/>
  <c r="AP503" i="16" s="1"/>
  <c r="BJ191" i="16"/>
  <c r="BN188" i="16"/>
  <c r="BM181" i="16"/>
  <c r="AG258" i="16"/>
  <c r="AG208" i="16" s="1"/>
  <c r="AF355" i="16"/>
  <c r="BM188" i="16"/>
  <c r="AK183" i="16"/>
  <c r="P111" i="16"/>
  <c r="BD191" i="16"/>
  <c r="BC191" i="16"/>
  <c r="BN185" i="16"/>
  <c r="BA191" i="16"/>
  <c r="AZ191" i="16"/>
  <c r="AO201" i="16"/>
  <c r="AO194" i="16" s="1"/>
  <c r="V411" i="16"/>
  <c r="AG179" i="16"/>
  <c r="L9" i="44"/>
  <c r="AG81" i="16"/>
  <c r="BM18" i="16"/>
  <c r="L18" i="16"/>
  <c r="AO96" i="16"/>
  <c r="AO99" i="16"/>
  <c r="AO93" i="16"/>
  <c r="K138" i="16"/>
  <c r="AE187" i="16"/>
  <c r="AE502" i="16" s="1"/>
  <c r="AI186" i="16"/>
  <c r="AI182" i="16"/>
  <c r="AD187" i="16"/>
  <c r="AD185" i="16" s="1"/>
  <c r="AD182" i="16"/>
  <c r="AO182" i="16"/>
  <c r="AO186" i="16"/>
  <c r="AO185" i="16" s="1"/>
  <c r="AM182" i="16"/>
  <c r="AE186" i="16"/>
  <c r="AE182" i="16"/>
  <c r="L489" i="16"/>
  <c r="BL261" i="16"/>
  <c r="BM184" i="16"/>
  <c r="AI179" i="16"/>
  <c r="AL183" i="16"/>
  <c r="AH183" i="16"/>
  <c r="AN183" i="16"/>
  <c r="AN201" i="16"/>
  <c r="AN194" i="16" s="1"/>
  <c r="K150" i="16"/>
  <c r="J202" i="16"/>
  <c r="K202" i="16" s="1"/>
  <c r="AF201" i="16"/>
  <c r="AG182" i="16"/>
  <c r="AM179" i="16"/>
  <c r="K189" i="16"/>
  <c r="J188" i="16"/>
  <c r="K188" i="16" s="1"/>
  <c r="L195" i="16"/>
  <c r="AN187" i="16"/>
  <c r="BM195" i="16"/>
  <c r="L166" i="16"/>
  <c r="BM166" i="16"/>
  <c r="BM491" i="16"/>
  <c r="Z258" i="16"/>
  <c r="Z208" i="16" s="1"/>
  <c r="BK202" i="16"/>
  <c r="AL411" i="16"/>
  <c r="AO502" i="16"/>
  <c r="AO509" i="16" s="1"/>
  <c r="AJ187" i="16"/>
  <c r="AM187" i="16"/>
  <c r="AM502" i="16" s="1"/>
  <c r="AM509" i="16" s="1"/>
  <c r="X258" i="16"/>
  <c r="X208" i="16" s="1"/>
  <c r="Z411" i="16"/>
  <c r="AD355" i="16"/>
  <c r="AG187" i="16"/>
  <c r="AG185" i="16" s="1"/>
  <c r="AF187" i="16"/>
  <c r="AF185" i="16" s="1"/>
  <c r="S258" i="16"/>
  <c r="S208" i="16" s="1"/>
  <c r="Q258" i="16"/>
  <c r="Q208" i="16" s="1"/>
  <c r="Y258" i="16"/>
  <c r="Y208" i="16" s="1"/>
  <c r="AK187" i="16"/>
  <c r="AI411" i="16"/>
  <c r="R411" i="16"/>
  <c r="K190" i="16"/>
  <c r="AL187" i="16"/>
  <c r="AL502" i="16" s="1"/>
  <c r="AL509" i="16" s="1"/>
  <c r="BM478" i="16"/>
  <c r="V258" i="16"/>
  <c r="V208" i="16" s="1"/>
  <c r="BH104" i="16"/>
  <c r="BH500" i="16" s="1"/>
  <c r="AH187" i="16"/>
  <c r="AI187" i="16"/>
  <c r="N411" i="16"/>
  <c r="N363" i="16" s="1"/>
  <c r="BK363" i="16" s="1"/>
  <c r="AK258" i="16"/>
  <c r="AK505" i="16" s="1"/>
  <c r="AK493" i="16" s="1"/>
  <c r="U411" i="16"/>
  <c r="L63" i="44"/>
  <c r="AJ258" i="16"/>
  <c r="AJ208" i="16" s="1"/>
  <c r="P23" i="17"/>
  <c r="O23" i="17"/>
  <c r="Z105" i="16" s="1"/>
  <c r="K23" i="17"/>
  <c r="V105" i="16" s="1"/>
  <c r="I23" i="17"/>
  <c r="T105" i="16" s="1"/>
  <c r="G23" i="17"/>
  <c r="R105" i="16" s="1"/>
  <c r="E23" i="17"/>
  <c r="P105" i="16" s="1"/>
  <c r="M23" i="17"/>
  <c r="N23" i="17"/>
  <c r="Y105" i="16" s="1"/>
  <c r="F23" i="17"/>
  <c r="Q105" i="16" s="1"/>
  <c r="L23" i="17"/>
  <c r="W105" i="16" s="1"/>
  <c r="D23" i="17"/>
  <c r="J23" i="17"/>
  <c r="C23" i="17"/>
  <c r="N105" i="16" s="1"/>
  <c r="BK171" i="16"/>
  <c r="L170" i="16"/>
  <c r="L172" i="16"/>
  <c r="L173" i="16"/>
  <c r="AA411" i="16"/>
  <c r="L356" i="16"/>
  <c r="R258" i="16"/>
  <c r="R208" i="16" s="1"/>
  <c r="BM262" i="16"/>
  <c r="J491" i="16"/>
  <c r="K491" i="16" s="1"/>
  <c r="BN258" i="16"/>
  <c r="L14" i="44"/>
  <c r="AI258" i="16"/>
  <c r="AI208" i="16" s="1"/>
  <c r="AH506" i="16"/>
  <c r="J489" i="16"/>
  <c r="K489" i="16" s="1"/>
  <c r="X411" i="16"/>
  <c r="W258" i="16"/>
  <c r="W208" i="16" s="1"/>
  <c r="S411" i="16"/>
  <c r="AF258" i="16"/>
  <c r="AF208" i="16" s="1"/>
  <c r="AC258" i="16"/>
  <c r="AC208" i="16" s="1"/>
  <c r="AH487" i="16"/>
  <c r="BM487" i="16" s="1"/>
  <c r="AA258" i="16"/>
  <c r="AA208" i="16" s="1"/>
  <c r="AD258" i="16"/>
  <c r="AD208" i="16" s="1"/>
  <c r="AE411" i="16"/>
  <c r="BM488" i="16"/>
  <c r="Y155" i="16"/>
  <c r="V155" i="16"/>
  <c r="P155" i="16"/>
  <c r="AU498" i="16"/>
  <c r="BB102" i="16"/>
  <c r="BN102" i="16" s="1"/>
  <c r="L59" i="44"/>
  <c r="AU184" i="16"/>
  <c r="AU502" i="16" s="1"/>
  <c r="AU509" i="16" s="1"/>
  <c r="BN181" i="16"/>
  <c r="BB103" i="16"/>
  <c r="BN103" i="16" s="1"/>
  <c r="N155" i="16"/>
  <c r="W155" i="16"/>
  <c r="AG79" i="16"/>
  <c r="BK277" i="16"/>
  <c r="BK415" i="16"/>
  <c r="BM356" i="16"/>
  <c r="L202" i="16"/>
  <c r="J195" i="16"/>
  <c r="K195" i="16" s="1"/>
  <c r="I99" i="16"/>
  <c r="I361" i="16"/>
  <c r="V361" i="16" s="1"/>
  <c r="V359" i="16" s="1"/>
  <c r="V355" i="16" s="1"/>
  <c r="AB411" i="16"/>
  <c r="BL411" i="16" s="1"/>
  <c r="BI509" i="16"/>
  <c r="O411" i="16"/>
  <c r="U258" i="16"/>
  <c r="U208" i="16" s="1"/>
  <c r="AA201" i="16"/>
  <c r="AJ355" i="16"/>
  <c r="AI490" i="16"/>
  <c r="L491" i="16"/>
  <c r="AJ411" i="16"/>
  <c r="BE509" i="16"/>
  <c r="J261" i="16"/>
  <c r="I261" i="16" s="1"/>
  <c r="K261" i="16" s="1"/>
  <c r="L261" i="16"/>
  <c r="J478" i="16"/>
  <c r="I478" i="16" s="1"/>
  <c r="K478" i="16" s="1"/>
  <c r="T258" i="16"/>
  <c r="T208" i="16" s="1"/>
  <c r="BM414" i="16"/>
  <c r="BM364" i="16"/>
  <c r="K149" i="16"/>
  <c r="J262" i="16"/>
  <c r="I262" i="16" s="1"/>
  <c r="K262" i="16" s="1"/>
  <c r="AY508" i="16"/>
  <c r="BM261" i="16"/>
  <c r="AK411" i="16"/>
  <c r="P258" i="16"/>
  <c r="P208" i="16" s="1"/>
  <c r="W411" i="16"/>
  <c r="AF79" i="16"/>
  <c r="BK356" i="16"/>
  <c r="BL207" i="16"/>
  <c r="L62" i="44"/>
  <c r="K364" i="16"/>
  <c r="AL258" i="16"/>
  <c r="AL208" i="16" s="1"/>
  <c r="AE355" i="16"/>
  <c r="AD411" i="16"/>
  <c r="L262" i="16"/>
  <c r="BL344" i="16"/>
  <c r="Q411" i="16"/>
  <c r="Y411" i="16"/>
  <c r="BM359" i="16"/>
  <c r="BM415" i="16"/>
  <c r="AH80" i="16"/>
  <c r="X145" i="16"/>
  <c r="BI493" i="16"/>
  <c r="BI494" i="16" s="1"/>
  <c r="AF81" i="16"/>
  <c r="AH79" i="16"/>
  <c r="AE79" i="16"/>
  <c r="AB102" i="16"/>
  <c r="BL102" i="16" s="1"/>
  <c r="AD79" i="16"/>
  <c r="BC507" i="16"/>
  <c r="BA507" i="16"/>
  <c r="BJ508" i="16"/>
  <c r="K101" i="16"/>
  <c r="BI508" i="16"/>
  <c r="O155" i="16"/>
  <c r="U155" i="16"/>
  <c r="AB155" i="16"/>
  <c r="BL155" i="16" s="1"/>
  <c r="AB79" i="16"/>
  <c r="BL79" i="16" s="1"/>
  <c r="L24" i="44"/>
  <c r="K137" i="16"/>
  <c r="AA153" i="16"/>
  <c r="X155" i="16"/>
  <c r="S155" i="16"/>
  <c r="T155" i="16"/>
  <c r="L45" i="44"/>
  <c r="I502" i="16"/>
  <c r="I96" i="16"/>
  <c r="AU96" i="16" s="1"/>
  <c r="BN96" i="16" s="1"/>
  <c r="X142" i="16"/>
  <c r="AH81" i="16"/>
  <c r="AC79" i="16"/>
  <c r="I91" i="16"/>
  <c r="I136" i="16" s="1"/>
  <c r="I151" i="16" s="1"/>
  <c r="I191" i="16" s="1"/>
  <c r="V145" i="16"/>
  <c r="L3" i="44"/>
  <c r="AR180" i="16"/>
  <c r="BN180" i="16" s="1"/>
  <c r="U104" i="16"/>
  <c r="W103" i="16"/>
  <c r="AB145" i="16"/>
  <c r="BL145" i="16" s="1"/>
  <c r="V153" i="16"/>
  <c r="L10" i="44"/>
  <c r="BH493" i="16"/>
  <c r="Z148" i="16"/>
  <c r="AM105" i="16"/>
  <c r="AI105" i="16"/>
  <c r="AE105" i="16"/>
  <c r="S105" i="16"/>
  <c r="L65" i="44"/>
  <c r="R164" i="16"/>
  <c r="AS105" i="16"/>
  <c r="AS136" i="16" s="1"/>
  <c r="AS151" i="16" s="1"/>
  <c r="AS191" i="16" s="1"/>
  <c r="O141" i="16"/>
  <c r="AL105" i="16"/>
  <c r="AD105" i="16"/>
  <c r="AH82" i="16"/>
  <c r="AB103" i="16"/>
  <c r="BL103" i="16" s="1"/>
  <c r="AS509" i="16"/>
  <c r="I97" i="16"/>
  <c r="L27" i="44"/>
  <c r="AF82" i="16"/>
  <c r="W142" i="16"/>
  <c r="L22" i="44"/>
  <c r="X163" i="16"/>
  <c r="T153" i="16"/>
  <c r="AO105" i="16"/>
  <c r="AK105" i="16"/>
  <c r="AG105" i="16"/>
  <c r="AC105" i="16"/>
  <c r="BG155" i="16"/>
  <c r="BN155" i="16" s="1"/>
  <c r="U105" i="16"/>
  <c r="O105" i="16"/>
  <c r="T102" i="16"/>
  <c r="AN105" i="16"/>
  <c r="AJ105" i="16"/>
  <c r="AF105" i="16"/>
  <c r="BK282" i="16"/>
  <c r="J269" i="16"/>
  <c r="K269" i="16" s="1"/>
  <c r="L269" i="16"/>
  <c r="BM269" i="16"/>
  <c r="J356" i="16"/>
  <c r="K356" i="16" s="1"/>
  <c r="J414" i="16"/>
  <c r="I414" i="16" s="1"/>
  <c r="K414" i="16" s="1"/>
  <c r="AI355" i="16"/>
  <c r="L478" i="16"/>
  <c r="BK478" i="16"/>
  <c r="BK414" i="16"/>
  <c r="BK262" i="16"/>
  <c r="BC509" i="16"/>
  <c r="AB144" i="16"/>
  <c r="BL144" i="16" s="1"/>
  <c r="N258" i="16"/>
  <c r="N208" i="16" s="1"/>
  <c r="AF411" i="16"/>
  <c r="AF367" i="16" s="1"/>
  <c r="AC81" i="16"/>
  <c r="I123" i="16"/>
  <c r="Q123" i="16" s="1"/>
  <c r="S103" i="16"/>
  <c r="AX509" i="16"/>
  <c r="BK261" i="16"/>
  <c r="BM344" i="16"/>
  <c r="BH509" i="16"/>
  <c r="R145" i="16"/>
  <c r="P153" i="16"/>
  <c r="P411" i="16"/>
  <c r="P103" i="16"/>
  <c r="BK344" i="16"/>
  <c r="J344" i="16"/>
  <c r="L414" i="16"/>
  <c r="Q143" i="16"/>
  <c r="BJ493" i="16"/>
  <c r="BJ509" i="16"/>
  <c r="Z145" i="16"/>
  <c r="S153" i="16"/>
  <c r="L39" i="44"/>
  <c r="AG411" i="16"/>
  <c r="O258" i="16"/>
  <c r="O208" i="16" s="1"/>
  <c r="V102" i="16"/>
  <c r="L344" i="16"/>
  <c r="L415" i="16"/>
  <c r="AR493" i="16"/>
  <c r="AC355" i="16"/>
  <c r="BM282" i="16"/>
  <c r="W80" i="16"/>
  <c r="W147" i="16"/>
  <c r="AD81" i="16"/>
  <c r="AB81" i="16"/>
  <c r="BL81" i="16" s="1"/>
  <c r="J415" i="16"/>
  <c r="I415" i="16" s="1"/>
  <c r="K415" i="16" s="1"/>
  <c r="I492" i="16"/>
  <c r="I490" i="16" s="1"/>
  <c r="P141" i="16"/>
  <c r="BF509" i="16"/>
  <c r="BH507" i="16"/>
  <c r="Q146" i="16"/>
  <c r="BJ507" i="16"/>
  <c r="O145" i="16"/>
  <c r="AB153" i="16"/>
  <c r="BL153" i="16" s="1"/>
  <c r="AG80" i="16"/>
  <c r="Y103" i="16"/>
  <c r="O102" i="16"/>
  <c r="T80" i="16"/>
  <c r="BA509" i="16"/>
  <c r="AS493" i="16"/>
  <c r="AW493" i="16"/>
  <c r="Y142" i="16"/>
  <c r="BJ503" i="16"/>
  <c r="BF507" i="16"/>
  <c r="S145" i="16"/>
  <c r="AB146" i="16"/>
  <c r="BL146" i="16" s="1"/>
  <c r="X153" i="16"/>
  <c r="R155" i="16"/>
  <c r="Z155" i="16"/>
  <c r="AE81" i="16"/>
  <c r="AF80" i="16"/>
  <c r="X103" i="16"/>
  <c r="Z81" i="16"/>
  <c r="R80" i="16"/>
  <c r="T145" i="16"/>
  <c r="Y147" i="16"/>
  <c r="R153" i="16"/>
  <c r="Q155" i="16"/>
  <c r="AE80" i="16"/>
  <c r="U79" i="16"/>
  <c r="AU507" i="16"/>
  <c r="T142" i="16"/>
  <c r="AD80" i="16"/>
  <c r="V103" i="16"/>
  <c r="X102" i="16"/>
  <c r="Z80" i="16"/>
  <c r="O80" i="16"/>
  <c r="AY503" i="16"/>
  <c r="BA508" i="16"/>
  <c r="BB507" i="16"/>
  <c r="AT493" i="16"/>
  <c r="BB509" i="16"/>
  <c r="AT509" i="16"/>
  <c r="AF140" i="16"/>
  <c r="Y145" i="16"/>
  <c r="Z153" i="16"/>
  <c r="L40" i="44"/>
  <c r="AC80" i="16"/>
  <c r="AB105" i="16"/>
  <c r="BL105" i="16" s="1"/>
  <c r="W102" i="16"/>
  <c r="Y80" i="16"/>
  <c r="N80" i="16"/>
  <c r="AV507" i="16"/>
  <c r="AZ493" i="16"/>
  <c r="AR507" i="16"/>
  <c r="U143" i="16"/>
  <c r="X146" i="16"/>
  <c r="AA105" i="16"/>
  <c r="Q103" i="16"/>
  <c r="V80" i="16"/>
  <c r="L168" i="16"/>
  <c r="X15" i="16"/>
  <c r="Z15" i="16"/>
  <c r="BL15" i="16"/>
  <c r="P15" i="16"/>
  <c r="Y15" i="16"/>
  <c r="AA15" i="16"/>
  <c r="BC501" i="16"/>
  <c r="AV493" i="16"/>
  <c r="BM14" i="16"/>
  <c r="J14" i="16"/>
  <c r="K14" i="16" s="1"/>
  <c r="BM274" i="16"/>
  <c r="L274" i="16"/>
  <c r="L74" i="16"/>
  <c r="J74" i="16"/>
  <c r="K74" i="16" s="1"/>
  <c r="Y276" i="16"/>
  <c r="AA276" i="16"/>
  <c r="T276" i="16"/>
  <c r="T275" i="16" s="1"/>
  <c r="Z276" i="16"/>
  <c r="Z506" i="16" s="1"/>
  <c r="U276" i="16"/>
  <c r="U506" i="16" s="1"/>
  <c r="S276" i="16"/>
  <c r="P276" i="16"/>
  <c r="W276" i="16"/>
  <c r="W275" i="16" s="1"/>
  <c r="W17" i="16"/>
  <c r="Y17" i="16"/>
  <c r="AA17" i="16"/>
  <c r="BL17" i="16"/>
  <c r="R17" i="16"/>
  <c r="X17" i="16"/>
  <c r="V17" i="16"/>
  <c r="Z17" i="16"/>
  <c r="AC11" i="16"/>
  <c r="P17" i="16"/>
  <c r="N17" i="16"/>
  <c r="J277" i="16"/>
  <c r="K277" i="16" s="1"/>
  <c r="AB124" i="16"/>
  <c r="BL124" i="16" s="1"/>
  <c r="T143" i="16"/>
  <c r="R163" i="16"/>
  <c r="O146" i="16"/>
  <c r="O147" i="16"/>
  <c r="AB147" i="16"/>
  <c r="BL147" i="16" s="1"/>
  <c r="N164" i="16"/>
  <c r="BK170" i="16"/>
  <c r="J172" i="16"/>
  <c r="K172" i="16" s="1"/>
  <c r="J176" i="16"/>
  <c r="K176" i="16" s="1"/>
  <c r="AB104" i="16"/>
  <c r="BL104" i="16" s="1"/>
  <c r="T104" i="16"/>
  <c r="W81" i="16"/>
  <c r="Y79" i="16"/>
  <c r="Q87" i="16"/>
  <c r="AS507" i="16"/>
  <c r="P142" i="16"/>
  <c r="X143" i="16"/>
  <c r="L36" i="44"/>
  <c r="BG493" i="16"/>
  <c r="S163" i="16"/>
  <c r="S147" i="16"/>
  <c r="Z163" i="16"/>
  <c r="L41" i="44"/>
  <c r="AA104" i="16"/>
  <c r="S104" i="16"/>
  <c r="W111" i="16"/>
  <c r="O81" i="16"/>
  <c r="W163" i="16"/>
  <c r="Z104" i="16"/>
  <c r="R104" i="16"/>
  <c r="Z111" i="16"/>
  <c r="S111" i="16"/>
  <c r="S79" i="16"/>
  <c r="O87" i="16"/>
  <c r="BE493" i="16"/>
  <c r="I94" i="16"/>
  <c r="AR94" i="16" s="1"/>
  <c r="Y104" i="16"/>
  <c r="Q104" i="16"/>
  <c r="X135" i="16"/>
  <c r="Q135" i="16"/>
  <c r="V111" i="16"/>
  <c r="S102" i="16"/>
  <c r="R87" i="16"/>
  <c r="AT507" i="16"/>
  <c r="BA493" i="16"/>
  <c r="V142" i="16"/>
  <c r="O143" i="16"/>
  <c r="Y143" i="16"/>
  <c r="BF493" i="16"/>
  <c r="Q163" i="16"/>
  <c r="N147" i="16"/>
  <c r="Q147" i="16"/>
  <c r="Q164" i="16"/>
  <c r="I93" i="16"/>
  <c r="AR93" i="16" s="1"/>
  <c r="BN91" i="16"/>
  <c r="BM83" i="16"/>
  <c r="X104" i="16"/>
  <c r="P104" i="16"/>
  <c r="W135" i="16"/>
  <c r="P135" i="16"/>
  <c r="R111" i="16"/>
  <c r="AA102" i="16"/>
  <c r="Q102" i="16"/>
  <c r="AZ509" i="16"/>
  <c r="AR509" i="16"/>
  <c r="Z142" i="16"/>
  <c r="S143" i="16"/>
  <c r="R143" i="16"/>
  <c r="AC175" i="16"/>
  <c r="U175" i="16" s="1"/>
  <c r="Z144" i="16"/>
  <c r="R146" i="16"/>
  <c r="R147" i="16"/>
  <c r="T147" i="16"/>
  <c r="X164" i="16"/>
  <c r="Q153" i="16"/>
  <c r="L48" i="44"/>
  <c r="K10" i="45"/>
  <c r="W193" i="16"/>
  <c r="W192" i="16" s="1"/>
  <c r="AB93" i="16"/>
  <c r="BL93" i="16" s="1"/>
  <c r="W104" i="16"/>
  <c r="O104" i="16"/>
  <c r="U111" i="16"/>
  <c r="T103" i="16"/>
  <c r="Y102" i="16"/>
  <c r="P102" i="16"/>
  <c r="P87" i="16"/>
  <c r="AZ507" i="16"/>
  <c r="AY493" i="16"/>
  <c r="AY509" i="16"/>
  <c r="U142" i="16"/>
  <c r="W143" i="16"/>
  <c r="V143" i="16"/>
  <c r="AA169" i="16"/>
  <c r="AA163" i="16"/>
  <c r="V146" i="16"/>
  <c r="Z147" i="16"/>
  <c r="X147" i="16"/>
  <c r="T164" i="16"/>
  <c r="V104" i="16"/>
  <c r="X111" i="16"/>
  <c r="J174" i="16"/>
  <c r="K174" i="16" s="1"/>
  <c r="AW507" i="16"/>
  <c r="S142" i="16"/>
  <c r="P143" i="16"/>
  <c r="Z143" i="16"/>
  <c r="BG507" i="16"/>
  <c r="O163" i="16"/>
  <c r="T146" i="16"/>
  <c r="S164" i="16"/>
  <c r="K377" i="16"/>
  <c r="AZ503" i="16"/>
  <c r="AZ508" i="16"/>
  <c r="J168" i="16"/>
  <c r="K168" i="16" s="1"/>
  <c r="BN13" i="16"/>
  <c r="L13" i="16"/>
  <c r="L5" i="16"/>
  <c r="BA503" i="16"/>
  <c r="BM5" i="16"/>
  <c r="L16" i="16"/>
  <c r="BN16" i="16"/>
  <c r="BC499" i="16"/>
  <c r="BM167" i="16"/>
  <c r="L167" i="16"/>
  <c r="L73" i="16"/>
  <c r="BM73" i="16"/>
  <c r="BF501" i="16"/>
  <c r="BN77" i="16"/>
  <c r="L77" i="16"/>
  <c r="BE499" i="16"/>
  <c r="BN174" i="16"/>
  <c r="BM6" i="16"/>
  <c r="L6" i="16"/>
  <c r="AX507" i="16"/>
  <c r="AU493" i="16"/>
  <c r="AX493" i="16"/>
  <c r="BN505" i="16"/>
  <c r="L277" i="16"/>
  <c r="BN506" i="16"/>
  <c r="AP509" i="16"/>
  <c r="BN504" i="16"/>
  <c r="L55" i="44"/>
  <c r="W177" i="16"/>
  <c r="V177" i="16"/>
  <c r="BG177" i="16"/>
  <c r="P177" i="16"/>
  <c r="Y177" i="16"/>
  <c r="N177" i="16"/>
  <c r="T177" i="16"/>
  <c r="AA177" i="16"/>
  <c r="Z177" i="16"/>
  <c r="O177" i="16"/>
  <c r="R177" i="16"/>
  <c r="AB177" i="16"/>
  <c r="BL177" i="16" s="1"/>
  <c r="S177" i="16"/>
  <c r="U177" i="16"/>
  <c r="Q177" i="16"/>
  <c r="BN183" i="16"/>
  <c r="BB493" i="16"/>
  <c r="AV509" i="16"/>
  <c r="J161" i="16"/>
  <c r="K161" i="16" s="1"/>
  <c r="L171" i="16"/>
  <c r="S169" i="16"/>
  <c r="L71" i="44"/>
  <c r="AY507" i="16"/>
  <c r="L15" i="44"/>
  <c r="O169" i="16"/>
  <c r="BD509" i="16"/>
  <c r="BN153" i="16"/>
  <c r="AP507" i="16"/>
  <c r="Q169" i="16"/>
  <c r="BL169" i="16"/>
  <c r="X169" i="16"/>
  <c r="Z169" i="16"/>
  <c r="T169" i="16"/>
  <c r="V169" i="16"/>
  <c r="P169" i="16"/>
  <c r="R169" i="16"/>
  <c r="W169" i="16"/>
  <c r="U169" i="16"/>
  <c r="N169" i="16"/>
  <c r="BD507" i="16"/>
  <c r="BD493" i="16"/>
  <c r="AP493" i="16"/>
  <c r="S141" i="16"/>
  <c r="W141" i="16"/>
  <c r="L42" i="44"/>
  <c r="Y148" i="16"/>
  <c r="R148" i="16"/>
  <c r="P148" i="16"/>
  <c r="W148" i="16"/>
  <c r="U148" i="16"/>
  <c r="S148" i="16"/>
  <c r="Q148" i="16"/>
  <c r="O148" i="16"/>
  <c r="AB148" i="16"/>
  <c r="BL148" i="16" s="1"/>
  <c r="V148" i="16"/>
  <c r="T148" i="16"/>
  <c r="I273" i="16"/>
  <c r="AI271" i="16"/>
  <c r="BD161" i="16"/>
  <c r="BD499" i="16" s="1"/>
  <c r="BK172" i="16"/>
  <c r="J171" i="16"/>
  <c r="K171" i="16" s="1"/>
  <c r="L38" i="44"/>
  <c r="P144" i="16"/>
  <c r="R144" i="16"/>
  <c r="Y154" i="16"/>
  <c r="Y181" i="16" s="1"/>
  <c r="Y184" i="16" s="1"/>
  <c r="Y187" i="16" s="1"/>
  <c r="S154" i="16"/>
  <c r="S181" i="16" s="1"/>
  <c r="S184" i="16" s="1"/>
  <c r="S187" i="16" s="1"/>
  <c r="P154" i="16"/>
  <c r="P181" i="16" s="1"/>
  <c r="P184" i="16" s="1"/>
  <c r="P187" i="16" s="1"/>
  <c r="W154" i="16"/>
  <c r="W181" i="16" s="1"/>
  <c r="W184" i="16" s="1"/>
  <c r="W187" i="16" s="1"/>
  <c r="N154" i="16"/>
  <c r="S193" i="16"/>
  <c r="S192" i="16" s="1"/>
  <c r="O193" i="16"/>
  <c r="O192" i="16" s="1"/>
  <c r="R193" i="16"/>
  <c r="R192" i="16" s="1"/>
  <c r="Y193" i="16"/>
  <c r="Y192" i="16" s="1"/>
  <c r="X193" i="16"/>
  <c r="X192" i="16" s="1"/>
  <c r="Q193" i="16"/>
  <c r="Q192" i="16" s="1"/>
  <c r="T193" i="16"/>
  <c r="T192" i="16" s="1"/>
  <c r="P193" i="16"/>
  <c r="P192" i="16" s="1"/>
  <c r="U193" i="16"/>
  <c r="U192" i="16" s="1"/>
  <c r="BN95" i="16"/>
  <c r="AU136" i="16"/>
  <c r="AU151" i="16" s="1"/>
  <c r="AL95" i="16"/>
  <c r="AL100" i="16"/>
  <c r="BI503" i="16"/>
  <c r="BK173" i="16"/>
  <c r="N163" i="16"/>
  <c r="U163" i="16"/>
  <c r="O144" i="16"/>
  <c r="Q145" i="16"/>
  <c r="W145" i="16"/>
  <c r="U146" i="16"/>
  <c r="W146" i="16"/>
  <c r="V164" i="16"/>
  <c r="P164" i="16"/>
  <c r="O153" i="16"/>
  <c r="U153" i="16"/>
  <c r="X276" i="16"/>
  <c r="AD276" i="16"/>
  <c r="AE276" i="16"/>
  <c r="AC160" i="16"/>
  <c r="BL159" i="16"/>
  <c r="AB154" i="16"/>
  <c r="R142" i="16"/>
  <c r="Q142" i="16"/>
  <c r="AA143" i="16"/>
  <c r="N143" i="16"/>
  <c r="J173" i="16"/>
  <c r="K173" i="16" s="1"/>
  <c r="V163" i="16"/>
  <c r="Y163" i="16"/>
  <c r="S144" i="16"/>
  <c r="U145" i="16"/>
  <c r="P146" i="16"/>
  <c r="Z164" i="16"/>
  <c r="AA164" i="16"/>
  <c r="Y153" i="16"/>
  <c r="W153" i="16"/>
  <c r="P147" i="16"/>
  <c r="V147" i="16"/>
  <c r="O154" i="16"/>
  <c r="O181" i="16" s="1"/>
  <c r="O184" i="16" s="1"/>
  <c r="O187" i="16" s="1"/>
  <c r="V193" i="16"/>
  <c r="V192" i="16" s="1"/>
  <c r="U154" i="16"/>
  <c r="U181" i="16" s="1"/>
  <c r="U184" i="16" s="1"/>
  <c r="U187" i="16" s="1"/>
  <c r="BK176" i="16"/>
  <c r="J170" i="16"/>
  <c r="K170" i="16" s="1"/>
  <c r="Q144" i="16"/>
  <c r="W144" i="16"/>
  <c r="W164" i="16"/>
  <c r="Y164" i="16"/>
  <c r="X154" i="16"/>
  <c r="X181" i="16" s="1"/>
  <c r="X184" i="16" s="1"/>
  <c r="X187" i="16" s="1"/>
  <c r="Q154" i="16"/>
  <c r="Q181" i="16" s="1"/>
  <c r="Q184" i="16" s="1"/>
  <c r="Q187" i="16" s="1"/>
  <c r="L49" i="44"/>
  <c r="BE507" i="16"/>
  <c r="L176" i="16"/>
  <c r="Y144" i="16"/>
  <c r="AA144" i="16"/>
  <c r="U164" i="16"/>
  <c r="O164" i="16"/>
  <c r="S146" i="16"/>
  <c r="Y146" i="16"/>
  <c r="AB276" i="16"/>
  <c r="V276" i="16"/>
  <c r="R276" i="16"/>
  <c r="Z154" i="16"/>
  <c r="Z181" i="16" s="1"/>
  <c r="Z184" i="16" s="1"/>
  <c r="Z187" i="16" s="1"/>
  <c r="T154" i="16"/>
  <c r="T181" i="16" s="1"/>
  <c r="T184" i="16" s="1"/>
  <c r="T187" i="16" s="1"/>
  <c r="BM88" i="16"/>
  <c r="N144" i="16"/>
  <c r="T144" i="16"/>
  <c r="R154" i="16"/>
  <c r="R181" i="16" s="1"/>
  <c r="R184" i="16" s="1"/>
  <c r="R187" i="16" s="1"/>
  <c r="O142" i="16"/>
  <c r="AB142" i="16"/>
  <c r="BL142" i="16" s="1"/>
  <c r="AB163" i="16"/>
  <c r="BL163" i="16" s="1"/>
  <c r="P163" i="16"/>
  <c r="V144" i="16"/>
  <c r="X144" i="16"/>
  <c r="Z146" i="16"/>
  <c r="AB164" i="16"/>
  <c r="BL164" i="16" s="1"/>
  <c r="L52" i="44"/>
  <c r="P145" i="16"/>
  <c r="AL158" i="16"/>
  <c r="V154" i="16"/>
  <c r="V181" i="16" s="1"/>
  <c r="V184" i="16" s="1"/>
  <c r="V187" i="16" s="1"/>
  <c r="AA154" i="16"/>
  <c r="AA181" i="16" s="1"/>
  <c r="AA184" i="16" s="1"/>
  <c r="AA187" i="16" s="1"/>
  <c r="Z193" i="16"/>
  <c r="Z192" i="16" s="1"/>
  <c r="AJ100" i="16"/>
  <c r="AK94" i="16"/>
  <c r="AK97" i="16"/>
  <c r="T114" i="16"/>
  <c r="O114" i="16"/>
  <c r="R114" i="16"/>
  <c r="U114" i="16"/>
  <c r="X114" i="16"/>
  <c r="P114" i="16"/>
  <c r="S114" i="16"/>
  <c r="V114" i="16"/>
  <c r="Y114" i="16"/>
  <c r="W114" i="16"/>
  <c r="Z114" i="16"/>
  <c r="I115" i="16"/>
  <c r="Q114" i="16"/>
  <c r="AB114" i="16"/>
  <c r="W109" i="16"/>
  <c r="W107" i="16" s="1"/>
  <c r="P109" i="16"/>
  <c r="T109" i="16"/>
  <c r="T107" i="16" s="1"/>
  <c r="Y109" i="16"/>
  <c r="Y107" i="16" s="1"/>
  <c r="S109" i="16"/>
  <c r="S107" i="16" s="1"/>
  <c r="X109" i="16"/>
  <c r="X107" i="16" s="1"/>
  <c r="R109" i="16"/>
  <c r="R107" i="16" s="1"/>
  <c r="AA109" i="16"/>
  <c r="V109" i="16"/>
  <c r="V107" i="16" s="1"/>
  <c r="AL91" i="16"/>
  <c r="AL94" i="16"/>
  <c r="S124" i="16"/>
  <c r="U109" i="16"/>
  <c r="U107" i="16" s="1"/>
  <c r="AO94" i="16"/>
  <c r="AO97" i="16"/>
  <c r="AK91" i="16"/>
  <c r="AB109" i="16"/>
  <c r="Q109" i="16"/>
  <c r="Q107" i="16" s="1"/>
  <c r="AO91" i="16"/>
  <c r="AV114" i="16"/>
  <c r="N124" i="16"/>
  <c r="V124" i="16"/>
  <c r="Y124" i="16"/>
  <c r="T124" i="16"/>
  <c r="O124" i="16"/>
  <c r="W124" i="16"/>
  <c r="R124" i="16"/>
  <c r="Z124" i="16"/>
  <c r="U124" i="16"/>
  <c r="P124" i="16"/>
  <c r="X124" i="16"/>
  <c r="V134" i="16"/>
  <c r="T134" i="16"/>
  <c r="W134" i="16"/>
  <c r="Z134" i="16"/>
  <c r="O134" i="16"/>
  <c r="R134" i="16"/>
  <c r="AD134" i="16"/>
  <c r="AL134" i="16"/>
  <c r="U134" i="16"/>
  <c r="X134" i="16"/>
  <c r="AJ134" i="16"/>
  <c r="Y81" i="16"/>
  <c r="O15" i="16"/>
  <c r="W15" i="16"/>
  <c r="V15" i="16"/>
  <c r="S15" i="16"/>
  <c r="U15" i="16"/>
  <c r="P81" i="16"/>
  <c r="X81" i="16"/>
  <c r="S81" i="16"/>
  <c r="AA81" i="16"/>
  <c r="S76" i="16"/>
  <c r="W76" i="16"/>
  <c r="R76" i="16"/>
  <c r="V76" i="16"/>
  <c r="Z76" i="16"/>
  <c r="U76" i="16"/>
  <c r="Y76" i="16"/>
  <c r="P76" i="16"/>
  <c r="T76" i="16"/>
  <c r="X76" i="16"/>
  <c r="Q111" i="16"/>
  <c r="Y111" i="16"/>
  <c r="X105" i="16"/>
  <c r="V81" i="16"/>
  <c r="U81" i="16"/>
  <c r="T81" i="16"/>
  <c r="AA76" i="16"/>
  <c r="R81" i="16"/>
  <c r="T15" i="16"/>
  <c r="R15" i="16"/>
  <c r="P78" i="16"/>
  <c r="T78" i="16"/>
  <c r="X78" i="16"/>
  <c r="O78" i="16"/>
  <c r="W78" i="16"/>
  <c r="AA78" i="16"/>
  <c r="N78" i="16"/>
  <c r="R78" i="16"/>
  <c r="V78" i="16"/>
  <c r="Q78" i="16"/>
  <c r="Y78" i="16"/>
  <c r="Q81" i="16"/>
  <c r="AA80" i="16"/>
  <c r="S80" i="16"/>
  <c r="S17" i="16"/>
  <c r="Z79" i="16"/>
  <c r="R79" i="16"/>
  <c r="AA90" i="16"/>
  <c r="X79" i="16"/>
  <c r="P79" i="16"/>
  <c r="Z86" i="16"/>
  <c r="Y86" i="16"/>
  <c r="X86" i="16"/>
  <c r="W86" i="16"/>
  <c r="V86" i="16"/>
  <c r="U86" i="16"/>
  <c r="T86" i="16"/>
  <c r="S86" i="16"/>
  <c r="R86" i="16"/>
  <c r="Q86" i="16"/>
  <c r="P86" i="16"/>
  <c r="O86" i="16"/>
  <c r="Z103" i="16"/>
  <c r="Z102" i="16"/>
  <c r="X80" i="16"/>
  <c r="T17" i="16"/>
  <c r="W79" i="16"/>
  <c r="O79" i="16"/>
  <c r="W85" i="16"/>
  <c r="P85" i="16"/>
  <c r="O85" i="16"/>
  <c r="V79" i="16"/>
  <c r="BK159" i="16" l="1"/>
  <c r="L9" i="16"/>
  <c r="L538" i="16" s="1"/>
  <c r="AI133" i="16"/>
  <c r="J207" i="16"/>
  <c r="U141" i="16"/>
  <c r="U85" i="16"/>
  <c r="AA124" i="16"/>
  <c r="Q17" i="16"/>
  <c r="Q80" i="16"/>
  <c r="O103" i="16"/>
  <c r="U80" i="16"/>
  <c r="AA193" i="16"/>
  <c r="AA192" i="16" s="1"/>
  <c r="Q76" i="16"/>
  <c r="Q72" i="16" s="1"/>
  <c r="Q124" i="16"/>
  <c r="Q122" i="16" s="1"/>
  <c r="AL157" i="16"/>
  <c r="BM157" i="16" s="1"/>
  <c r="Z72" i="16"/>
  <c r="AB157" i="16"/>
  <c r="AL98" i="16"/>
  <c r="AA148" i="16"/>
  <c r="Q15" i="16"/>
  <c r="U17" i="16"/>
  <c r="U103" i="16"/>
  <c r="G31" i="33"/>
  <c r="H31" i="33" s="1"/>
  <c r="H29" i="33"/>
  <c r="U102" i="16"/>
  <c r="AA146" i="16"/>
  <c r="J12" i="16"/>
  <c r="K12" i="16" s="1"/>
  <c r="L12" i="16"/>
  <c r="J159" i="16"/>
  <c r="K159" i="16" s="1"/>
  <c r="BK207" i="16"/>
  <c r="L207" i="16"/>
  <c r="AG504" i="16"/>
  <c r="L159" i="16"/>
  <c r="BK161" i="16"/>
  <c r="L7" i="16"/>
  <c r="AQ136" i="16"/>
  <c r="N85" i="16"/>
  <c r="N141" i="16"/>
  <c r="L75" i="16"/>
  <c r="O16" i="17"/>
  <c r="Z117" i="16" s="1"/>
  <c r="N15" i="16"/>
  <c r="AA111" i="16"/>
  <c r="O17" i="16"/>
  <c r="AT133" i="16"/>
  <c r="AT498" i="16" s="1"/>
  <c r="AA79" i="16"/>
  <c r="Q134" i="16"/>
  <c r="N109" i="16"/>
  <c r="AB193" i="16"/>
  <c r="AB192" i="16" s="1"/>
  <c r="BL192" i="16" s="1"/>
  <c r="AA147" i="16"/>
  <c r="L147" i="16" s="1"/>
  <c r="N146" i="16"/>
  <c r="L146" i="16" s="1"/>
  <c r="N79" i="16"/>
  <c r="O76" i="16"/>
  <c r="AA114" i="16"/>
  <c r="BK114" i="16" s="1"/>
  <c r="O276" i="16"/>
  <c r="O275" i="16" s="1"/>
  <c r="AA142" i="16"/>
  <c r="N148" i="16"/>
  <c r="O111" i="16"/>
  <c r="N102" i="16"/>
  <c r="AA155" i="16"/>
  <c r="J155" i="16" s="1"/>
  <c r="K155" i="16" s="1"/>
  <c r="J75" i="16"/>
  <c r="K75" i="16" s="1"/>
  <c r="AA134" i="16"/>
  <c r="AA133" i="16" s="1"/>
  <c r="N134" i="16"/>
  <c r="N145" i="16"/>
  <c r="BK145" i="16" s="1"/>
  <c r="N193" i="16"/>
  <c r="N192" i="16" s="1"/>
  <c r="N142" i="16"/>
  <c r="N153" i="16"/>
  <c r="BK153" i="16" s="1"/>
  <c r="AC276" i="16"/>
  <c r="BM276" i="16" s="1"/>
  <c r="N103" i="16"/>
  <c r="N76" i="16"/>
  <c r="N72" i="16" s="1"/>
  <c r="J7" i="16"/>
  <c r="K7" i="16" s="1"/>
  <c r="AT500" i="16"/>
  <c r="U144" i="16"/>
  <c r="L144" i="16" s="1"/>
  <c r="Z109" i="16"/>
  <c r="N276" i="16"/>
  <c r="N506" i="16" s="1"/>
  <c r="AK501" i="16"/>
  <c r="R133" i="16"/>
  <c r="AF501" i="16"/>
  <c r="V133" i="16"/>
  <c r="J18" i="16"/>
  <c r="K18" i="16" s="1"/>
  <c r="BC494" i="16"/>
  <c r="AG501" i="16"/>
  <c r="O133" i="16"/>
  <c r="AP498" i="16"/>
  <c r="Z133" i="16"/>
  <c r="P133" i="16"/>
  <c r="BM162" i="16"/>
  <c r="AH133" i="16"/>
  <c r="U133" i="16"/>
  <c r="AM136" i="16"/>
  <c r="AM151" i="16" s="1"/>
  <c r="AE133" i="16"/>
  <c r="J88" i="16"/>
  <c r="K88" i="16" s="1"/>
  <c r="AC156" i="16"/>
  <c r="AC180" i="16" s="1"/>
  <c r="BI510" i="16"/>
  <c r="BI532" i="16" s="1"/>
  <c r="AB83" i="16"/>
  <c r="BL83" i="16" s="1"/>
  <c r="AH501" i="16"/>
  <c r="AP136" i="16"/>
  <c r="AP151" i="16" s="1"/>
  <c r="AP191" i="16" s="1"/>
  <c r="AP494" i="16" s="1"/>
  <c r="AX112" i="16"/>
  <c r="AX110" i="16" s="1"/>
  <c r="AX106" i="16" s="1"/>
  <c r="Y133" i="16"/>
  <c r="L88" i="16"/>
  <c r="BM161" i="16"/>
  <c r="N117" i="16"/>
  <c r="N118" i="16"/>
  <c r="N131" i="16"/>
  <c r="N206" i="16"/>
  <c r="R120" i="16"/>
  <c r="R162" i="16"/>
  <c r="F16" i="17"/>
  <c r="Q130" i="16"/>
  <c r="S120" i="16"/>
  <c r="S162" i="16"/>
  <c r="W120" i="16"/>
  <c r="W162" i="16"/>
  <c r="P120" i="16"/>
  <c r="AB108" i="16"/>
  <c r="BL108" i="16" s="1"/>
  <c r="P108" i="16"/>
  <c r="P107" i="16" s="1"/>
  <c r="P162" i="16"/>
  <c r="Q120" i="16"/>
  <c r="Q162" i="16"/>
  <c r="S16" i="17"/>
  <c r="AD130" i="16"/>
  <c r="AD501" i="16" s="1"/>
  <c r="R130" i="16"/>
  <c r="G16" i="17"/>
  <c r="H24" i="33"/>
  <c r="H22" i="33"/>
  <c r="W206" i="16"/>
  <c r="W205" i="16" s="1"/>
  <c r="W201" i="16" s="1"/>
  <c r="W194" i="16" s="1"/>
  <c r="W117" i="16"/>
  <c r="W131" i="16"/>
  <c r="W129" i="16" s="1"/>
  <c r="W118" i="16"/>
  <c r="O117" i="16"/>
  <c r="O118" i="16"/>
  <c r="O131" i="16"/>
  <c r="O129" i="16" s="1"/>
  <c r="O206" i="16"/>
  <c r="O205" i="16" s="1"/>
  <c r="O201" i="16" s="1"/>
  <c r="O194" i="16" s="1"/>
  <c r="AC10" i="16"/>
  <c r="AB538" i="16"/>
  <c r="BM9" i="16"/>
  <c r="BL9" i="16"/>
  <c r="I23" i="33"/>
  <c r="I22" i="33"/>
  <c r="AA108" i="16"/>
  <c r="AA107" i="16" s="1"/>
  <c r="O108" i="16"/>
  <c r="O107" i="16" s="1"/>
  <c r="O162" i="16"/>
  <c r="O120" i="16"/>
  <c r="AE8" i="17"/>
  <c r="Z108" i="16"/>
  <c r="Z107" i="16" s="1"/>
  <c r="N108" i="16"/>
  <c r="N120" i="16"/>
  <c r="N162" i="16"/>
  <c r="AB130" i="16"/>
  <c r="Q16" i="17"/>
  <c r="AA130" i="16"/>
  <c r="P16" i="17"/>
  <c r="R16" i="17"/>
  <c r="AC130" i="16"/>
  <c r="N130" i="16"/>
  <c r="AE6" i="17"/>
  <c r="O22" i="37"/>
  <c r="P22" i="37" s="1"/>
  <c r="O20" i="37"/>
  <c r="P20" i="37" s="1"/>
  <c r="O18" i="37"/>
  <c r="P18" i="37" s="1"/>
  <c r="O21" i="37"/>
  <c r="P21" i="37" s="1"/>
  <c r="O19" i="37"/>
  <c r="P19" i="37" s="1"/>
  <c r="AE18" i="17"/>
  <c r="J9" i="16"/>
  <c r="K9" i="16" s="1"/>
  <c r="BK9" i="16"/>
  <c r="BK7" i="16"/>
  <c r="AE29" i="17"/>
  <c r="AB162" i="16"/>
  <c r="BL162" i="16" s="1"/>
  <c r="AB120" i="16"/>
  <c r="BL120" i="16" s="1"/>
  <c r="V120" i="16"/>
  <c r="V162" i="16"/>
  <c r="X120" i="16"/>
  <c r="X162" i="16"/>
  <c r="Y120" i="16"/>
  <c r="Y162" i="16"/>
  <c r="N16" i="17"/>
  <c r="Y130" i="16"/>
  <c r="T16" i="17"/>
  <c r="S117" i="16"/>
  <c r="S206" i="16"/>
  <c r="S205" i="16" s="1"/>
  <c r="S201" i="16" s="1"/>
  <c r="S194" i="16" s="1"/>
  <c r="S118" i="16"/>
  <c r="S131" i="16"/>
  <c r="S129" i="16" s="1"/>
  <c r="AC8" i="16"/>
  <c r="BL7" i="16"/>
  <c r="U117" i="16"/>
  <c r="U118" i="16"/>
  <c r="U131" i="16"/>
  <c r="U129" i="16" s="1"/>
  <c r="U206" i="16"/>
  <c r="U205" i="16" s="1"/>
  <c r="U201" i="16" s="1"/>
  <c r="U194" i="16" s="1"/>
  <c r="P117" i="16"/>
  <c r="P206" i="16"/>
  <c r="P205" i="16" s="1"/>
  <c r="P201" i="16" s="1"/>
  <c r="P194" i="16" s="1"/>
  <c r="P118" i="16"/>
  <c r="P131" i="16"/>
  <c r="P129" i="16" s="1"/>
  <c r="AA120" i="16"/>
  <c r="AA162" i="16"/>
  <c r="T120" i="16"/>
  <c r="T162" i="16"/>
  <c r="U120" i="16"/>
  <c r="U162" i="16"/>
  <c r="V130" i="16"/>
  <c r="K16" i="17"/>
  <c r="X130" i="16"/>
  <c r="M16" i="17"/>
  <c r="T130" i="16"/>
  <c r="I16" i="17"/>
  <c r="O7" i="37"/>
  <c r="P7" i="37" s="1"/>
  <c r="O9" i="37"/>
  <c r="P9" i="37" s="1"/>
  <c r="O5" i="37"/>
  <c r="P5" i="37" s="1"/>
  <c r="O12" i="37"/>
  <c r="P12" i="37" s="1"/>
  <c r="O8" i="37"/>
  <c r="P8" i="37" s="1"/>
  <c r="O13" i="37"/>
  <c r="P13" i="37" s="1"/>
  <c r="O10" i="37"/>
  <c r="P10" i="37" s="1"/>
  <c r="O11" i="37"/>
  <c r="P11" i="37" s="1"/>
  <c r="O6" i="37"/>
  <c r="P6" i="37" s="1"/>
  <c r="O4" i="37"/>
  <c r="P4" i="37" s="1"/>
  <c r="D20" i="17"/>
  <c r="D21" i="17" s="1"/>
  <c r="O90" i="16" s="1"/>
  <c r="O83" i="16" s="1"/>
  <c r="I20" i="17"/>
  <c r="I21" i="17" s="1"/>
  <c r="T90" i="16" s="1"/>
  <c r="P20" i="17"/>
  <c r="P21" i="17" s="1"/>
  <c r="F20" i="17"/>
  <c r="F21" i="17" s="1"/>
  <c r="Q90" i="16" s="1"/>
  <c r="H20" i="17"/>
  <c r="H21" i="17" s="1"/>
  <c r="S90" i="16" s="1"/>
  <c r="S83" i="16" s="1"/>
  <c r="M20" i="17"/>
  <c r="M21" i="17" s="1"/>
  <c r="X90" i="16" s="1"/>
  <c r="L20" i="17"/>
  <c r="L21" i="17" s="1"/>
  <c r="W90" i="16" s="1"/>
  <c r="W83" i="16" s="1"/>
  <c r="N20" i="17"/>
  <c r="N21" i="17" s="1"/>
  <c r="Y90" i="16" s="1"/>
  <c r="O20" i="17"/>
  <c r="O21" i="17" s="1"/>
  <c r="Z90" i="16" s="1"/>
  <c r="R20" i="17"/>
  <c r="R21" i="17" s="1"/>
  <c r="C20" i="17"/>
  <c r="S20" i="17"/>
  <c r="S21" i="17" s="1"/>
  <c r="G20" i="17"/>
  <c r="G21" i="17" s="1"/>
  <c r="R90" i="16" s="1"/>
  <c r="J20" i="17"/>
  <c r="J21" i="17" s="1"/>
  <c r="U90" i="16" s="1"/>
  <c r="Q20" i="17"/>
  <c r="Q21" i="17" s="1"/>
  <c r="T20" i="17"/>
  <c r="T21" i="17" s="1"/>
  <c r="E20" i="17"/>
  <c r="E21" i="17" s="1"/>
  <c r="P90" i="16" s="1"/>
  <c r="P83" i="16" s="1"/>
  <c r="T133" i="16"/>
  <c r="BK88" i="16"/>
  <c r="BL258" i="16"/>
  <c r="AB208" i="16"/>
  <c r="L208" i="16" s="1"/>
  <c r="AY494" i="16"/>
  <c r="BF494" i="16"/>
  <c r="X112" i="16"/>
  <c r="X110" i="16" s="1"/>
  <c r="X106" i="16" s="1"/>
  <c r="T112" i="16"/>
  <c r="T110" i="16" s="1"/>
  <c r="T106" i="16" s="1"/>
  <c r="Z112" i="16"/>
  <c r="Z110" i="16" s="1"/>
  <c r="BF508" i="16"/>
  <c r="AG505" i="16"/>
  <c r="AG493" i="16" s="1"/>
  <c r="AK133" i="16"/>
  <c r="BE494" i="16"/>
  <c r="AG133" i="16"/>
  <c r="S133" i="16"/>
  <c r="AF133" i="16"/>
  <c r="BM135" i="16"/>
  <c r="K6" i="45"/>
  <c r="W112" i="16"/>
  <c r="AE505" i="16"/>
  <c r="Q112" i="16"/>
  <c r="Q110" i="16" s="1"/>
  <c r="Q106" i="16" s="1"/>
  <c r="U112" i="16"/>
  <c r="U110" i="16" s="1"/>
  <c r="U106" i="16" s="1"/>
  <c r="R112" i="16"/>
  <c r="R110" i="16" s="1"/>
  <c r="R106" i="16" s="1"/>
  <c r="AA83" i="16"/>
  <c r="V112" i="16"/>
  <c r="V110" i="16" s="1"/>
  <c r="V106" i="16" s="1"/>
  <c r="BA494" i="16"/>
  <c r="Y112" i="16"/>
  <c r="Y110" i="16" s="1"/>
  <c r="Y106" i="16" s="1"/>
  <c r="AB112" i="16"/>
  <c r="N112" i="16"/>
  <c r="N110" i="16" s="1"/>
  <c r="AK208" i="16"/>
  <c r="AK504" i="16" s="1"/>
  <c r="AJ185" i="16"/>
  <c r="L89" i="16"/>
  <c r="AE501" i="16"/>
  <c r="AI501" i="16"/>
  <c r="AD502" i="16"/>
  <c r="BJ494" i="16"/>
  <c r="AW503" i="16"/>
  <c r="AW510" i="16" s="1"/>
  <c r="AW532" i="16" s="1"/>
  <c r="BD494" i="16"/>
  <c r="AO501" i="16"/>
  <c r="BA510" i="16"/>
  <c r="BA532" i="16" s="1"/>
  <c r="J89" i="16"/>
  <c r="K89" i="16" s="1"/>
  <c r="BK89" i="16"/>
  <c r="I344" i="16"/>
  <c r="K344" i="16" s="1"/>
  <c r="AE185" i="16"/>
  <c r="X11" i="16"/>
  <c r="BN134" i="16"/>
  <c r="AT501" i="16"/>
  <c r="AT499" i="16"/>
  <c r="AI95" i="16"/>
  <c r="AI100" i="16"/>
  <c r="AI98" i="16" s="1"/>
  <c r="BH136" i="16"/>
  <c r="BH151" i="16" s="1"/>
  <c r="BH191" i="16" s="1"/>
  <c r="BH494" i="16" s="1"/>
  <c r="AJ502" i="16"/>
  <c r="AJ509" i="16" s="1"/>
  <c r="AG502" i="16"/>
  <c r="AG509" i="16" s="1"/>
  <c r="AP508" i="16"/>
  <c r="AA112" i="16"/>
  <c r="J487" i="16"/>
  <c r="K487" i="16" s="1"/>
  <c r="AX501" i="16"/>
  <c r="BN111" i="16"/>
  <c r="AK186" i="16"/>
  <c r="AK185" i="16" s="1"/>
  <c r="AK182" i="16"/>
  <c r="AM185" i="16"/>
  <c r="AW106" i="16"/>
  <c r="BN107" i="16"/>
  <c r="AZ494" i="16"/>
  <c r="AI185" i="16"/>
  <c r="P112" i="16"/>
  <c r="P110" i="16" s="1"/>
  <c r="S112" i="16"/>
  <c r="S110" i="16" s="1"/>
  <c r="S106" i="16" s="1"/>
  <c r="AD505" i="16"/>
  <c r="BM194" i="16"/>
  <c r="AJ504" i="16"/>
  <c r="BM187" i="16"/>
  <c r="AJ505" i="16"/>
  <c r="AJ507" i="16" s="1"/>
  <c r="AP510" i="16"/>
  <c r="AP532" i="16" s="1"/>
  <c r="AO208" i="16"/>
  <c r="AO505" i="16" s="1"/>
  <c r="AM208" i="16"/>
  <c r="AM505" i="16"/>
  <c r="AN182" i="16"/>
  <c r="AN186" i="16"/>
  <c r="AN185" i="16" s="1"/>
  <c r="AN502" i="16"/>
  <c r="AN509" i="16" s="1"/>
  <c r="AN208" i="16"/>
  <c r="AN505" i="16"/>
  <c r="AN493" i="16" s="1"/>
  <c r="AH182" i="16"/>
  <c r="AH186" i="16"/>
  <c r="AH185" i="16" s="1"/>
  <c r="AL182" i="16"/>
  <c r="AL186" i="16"/>
  <c r="AL185" i="16" s="1"/>
  <c r="AH502" i="16"/>
  <c r="AH509" i="16" s="1"/>
  <c r="AK502" i="16"/>
  <c r="AK509" i="16" s="1"/>
  <c r="BN104" i="16"/>
  <c r="BH498" i="16"/>
  <c r="BH499" i="16"/>
  <c r="AI502" i="16"/>
  <c r="L487" i="16"/>
  <c r="AE23" i="17"/>
  <c r="X133" i="16"/>
  <c r="W133" i="16"/>
  <c r="Z11" i="16"/>
  <c r="P11" i="16"/>
  <c r="N11" i="16"/>
  <c r="Y11" i="16"/>
  <c r="AA11" i="16"/>
  <c r="Q133" i="16"/>
  <c r="AK507" i="16"/>
  <c r="AA72" i="16"/>
  <c r="V11" i="16"/>
  <c r="L87" i="16"/>
  <c r="AC505" i="16"/>
  <c r="BJ510" i="16"/>
  <c r="BJ532" i="16" s="1"/>
  <c r="BM258" i="16"/>
  <c r="I509" i="16"/>
  <c r="N361" i="16"/>
  <c r="N359" i="16" s="1"/>
  <c r="N355" i="16" s="1"/>
  <c r="AA361" i="16"/>
  <c r="AA505" i="16" s="1"/>
  <c r="AB361" i="16"/>
  <c r="AB505" i="16" s="1"/>
  <c r="BL505" i="16" s="1"/>
  <c r="V505" i="16"/>
  <c r="X361" i="16"/>
  <c r="X505" i="16" s="1"/>
  <c r="AU182" i="16"/>
  <c r="BN182" i="16" s="1"/>
  <c r="BN184" i="16"/>
  <c r="BM79" i="16"/>
  <c r="AG91" i="16"/>
  <c r="BB500" i="16"/>
  <c r="AA123" i="16"/>
  <c r="BB136" i="16"/>
  <c r="BB151" i="16" s="1"/>
  <c r="BB191" i="16" s="1"/>
  <c r="BB494" i="16" s="1"/>
  <c r="BB498" i="16"/>
  <c r="BB499" i="16"/>
  <c r="BB508" i="16" s="1"/>
  <c r="O361" i="16"/>
  <c r="O505" i="16" s="1"/>
  <c r="W361" i="16"/>
  <c r="W359" i="16" s="1"/>
  <c r="W355" i="16" s="1"/>
  <c r="W504" i="16" s="1"/>
  <c r="U361" i="16"/>
  <c r="U359" i="16" s="1"/>
  <c r="U355" i="16" s="1"/>
  <c r="S361" i="16"/>
  <c r="S505" i="16" s="1"/>
  <c r="P361" i="16"/>
  <c r="P359" i="16" s="1"/>
  <c r="P355" i="16" s="1"/>
  <c r="R361" i="16"/>
  <c r="R505" i="16" s="1"/>
  <c r="Z361" i="16"/>
  <c r="Y361" i="16"/>
  <c r="Y505" i="16" s="1"/>
  <c r="I359" i="16"/>
  <c r="T361" i="16"/>
  <c r="T505" i="16" s="1"/>
  <c r="Q361" i="16"/>
  <c r="Q359" i="16" s="1"/>
  <c r="Q355" i="16" s="1"/>
  <c r="AG94" i="16"/>
  <c r="AG92" i="16" s="1"/>
  <c r="AH94" i="16"/>
  <c r="AH92" i="16" s="1"/>
  <c r="AG97" i="16"/>
  <c r="AG100" i="16" s="1"/>
  <c r="AG98" i="16" s="1"/>
  <c r="BG502" i="16"/>
  <c r="BG509" i="16" s="1"/>
  <c r="BN509" i="16" s="1"/>
  <c r="AH97" i="16"/>
  <c r="AH95" i="16" s="1"/>
  <c r="AL505" i="16"/>
  <c r="AL507" i="16" s="1"/>
  <c r="J373" i="16"/>
  <c r="I373" i="16" s="1"/>
  <c r="K373" i="16" s="1"/>
  <c r="BM373" i="16"/>
  <c r="L373" i="16"/>
  <c r="J411" i="16"/>
  <c r="I411" i="16" s="1"/>
  <c r="K411" i="16" s="1"/>
  <c r="BM411" i="16"/>
  <c r="AL504" i="16"/>
  <c r="AS494" i="16"/>
  <c r="BF510" i="16"/>
  <c r="BF532" i="16" s="1"/>
  <c r="AH91" i="16"/>
  <c r="Z275" i="16"/>
  <c r="BM355" i="16"/>
  <c r="L411" i="16"/>
  <c r="AU501" i="16"/>
  <c r="Z123" i="16"/>
  <c r="Z122" i="16" s="1"/>
  <c r="AY510" i="16"/>
  <c r="AY532" i="16" s="1"/>
  <c r="AH492" i="16"/>
  <c r="J492" i="16" s="1"/>
  <c r="K492" i="16" s="1"/>
  <c r="W506" i="16"/>
  <c r="AF94" i="16"/>
  <c r="AF92" i="16" s="1"/>
  <c r="Y123" i="16"/>
  <c r="Y122" i="16" s="1"/>
  <c r="T506" i="16"/>
  <c r="BM81" i="16"/>
  <c r="O123" i="16"/>
  <c r="O122" i="16" s="1"/>
  <c r="AR179" i="16"/>
  <c r="BN179" i="16" s="1"/>
  <c r="R123" i="16"/>
  <c r="R122" i="16" s="1"/>
  <c r="N123" i="16"/>
  <c r="N122" i="16" s="1"/>
  <c r="BM105" i="16"/>
  <c r="S123" i="16"/>
  <c r="S122" i="16" s="1"/>
  <c r="AF91" i="16"/>
  <c r="AF97" i="16"/>
  <c r="W123" i="16"/>
  <c r="W122" i="16" s="1"/>
  <c r="AB123" i="16"/>
  <c r="BL123" i="16" s="1"/>
  <c r="AN136" i="16"/>
  <c r="AN151" i="16" s="1"/>
  <c r="AU97" i="16"/>
  <c r="I100" i="16"/>
  <c r="U123" i="16"/>
  <c r="U122" i="16" s="1"/>
  <c r="X123" i="16"/>
  <c r="X122" i="16" s="1"/>
  <c r="AI500" i="16"/>
  <c r="V123" i="16"/>
  <c r="V122" i="16" s="1"/>
  <c r="AM498" i="16"/>
  <c r="AM499" i="16"/>
  <c r="AM503" i="16" s="1"/>
  <c r="AM500" i="16"/>
  <c r="T123" i="16"/>
  <c r="T122" i="16" s="1"/>
  <c r="P123" i="16"/>
  <c r="BN105" i="16"/>
  <c r="AS499" i="16"/>
  <c r="AS500" i="16"/>
  <c r="AS498" i="16"/>
  <c r="L282" i="16"/>
  <c r="J258" i="16"/>
  <c r="I258" i="16" s="1"/>
  <c r="K258" i="16" s="1"/>
  <c r="BK258" i="16"/>
  <c r="L258" i="16"/>
  <c r="BK411" i="16"/>
  <c r="AM267" i="16"/>
  <c r="J282" i="16"/>
  <c r="K282" i="16" s="1"/>
  <c r="J164" i="16"/>
  <c r="K164" i="16" s="1"/>
  <c r="BK81" i="16"/>
  <c r="BM80" i="16"/>
  <c r="J140" i="16"/>
  <c r="K140" i="16" s="1"/>
  <c r="AF502" i="16"/>
  <c r="AF509" i="16" s="1"/>
  <c r="BM140" i="16"/>
  <c r="L140" i="16"/>
  <c r="AB99" i="16"/>
  <c r="BL99" i="16" s="1"/>
  <c r="AC96" i="16"/>
  <c r="AC93" i="16"/>
  <c r="AB96" i="16"/>
  <c r="BL96" i="16" s="1"/>
  <c r="BM11" i="16"/>
  <c r="O175" i="16"/>
  <c r="O165" i="16" s="1"/>
  <c r="Q175" i="16"/>
  <c r="Q165" i="16" s="1"/>
  <c r="AA175" i="16"/>
  <c r="AA165" i="16" s="1"/>
  <c r="R175" i="16"/>
  <c r="Z175" i="16"/>
  <c r="Z165" i="16" s="1"/>
  <c r="BM175" i="16"/>
  <c r="W175" i="16"/>
  <c r="W165" i="16" s="1"/>
  <c r="BL175" i="16"/>
  <c r="AR92" i="16"/>
  <c r="AR499" i="16"/>
  <c r="BN93" i="16"/>
  <c r="AR501" i="16"/>
  <c r="Y275" i="16"/>
  <c r="Y506" i="16"/>
  <c r="O110" i="16"/>
  <c r="BK105" i="16"/>
  <c r="S72" i="16"/>
  <c r="O502" i="16"/>
  <c r="L164" i="16"/>
  <c r="J104" i="16"/>
  <c r="K104" i="16" s="1"/>
  <c r="L104" i="16"/>
  <c r="AT136" i="16"/>
  <c r="AT151" i="16" s="1"/>
  <c r="AT191" i="16" s="1"/>
  <c r="AT494" i="16" s="1"/>
  <c r="BN507" i="16"/>
  <c r="AZ510" i="16"/>
  <c r="AZ532" i="16" s="1"/>
  <c r="AR500" i="16"/>
  <c r="BN94" i="16"/>
  <c r="P275" i="16"/>
  <c r="P506" i="16"/>
  <c r="U275" i="16"/>
  <c r="S275" i="16"/>
  <c r="S506" i="16"/>
  <c r="BK87" i="16"/>
  <c r="BK164" i="16"/>
  <c r="J87" i="16"/>
  <c r="K87" i="16" s="1"/>
  <c r="X175" i="16"/>
  <c r="X165" i="16" s="1"/>
  <c r="BL11" i="16"/>
  <c r="T175" i="16"/>
  <c r="T165" i="16" s="1"/>
  <c r="S175" i="16"/>
  <c r="S165" i="16" s="1"/>
  <c r="L135" i="16"/>
  <c r="BK135" i="16"/>
  <c r="J135" i="16"/>
  <c r="K135" i="16" s="1"/>
  <c r="BK104" i="16"/>
  <c r="V175" i="16"/>
  <c r="V165" i="16" s="1"/>
  <c r="P175" i="16"/>
  <c r="P165" i="16" s="1"/>
  <c r="Y175" i="16"/>
  <c r="Y165" i="16" s="1"/>
  <c r="AB110" i="16"/>
  <c r="BL110" i="16" s="1"/>
  <c r="BL112" i="16"/>
  <c r="AA275" i="16"/>
  <c r="AA506" i="16"/>
  <c r="BD503" i="16"/>
  <c r="BD510" i="16" s="1"/>
  <c r="BD532" i="16" s="1"/>
  <c r="BD508" i="16"/>
  <c r="BL109" i="16"/>
  <c r="AL92" i="16"/>
  <c r="AL499" i="16"/>
  <c r="BK86" i="16"/>
  <c r="J86" i="16"/>
  <c r="K86" i="16" s="1"/>
  <c r="L86" i="16"/>
  <c r="V72" i="16"/>
  <c r="BL114" i="16"/>
  <c r="X72" i="16"/>
  <c r="R72" i="16"/>
  <c r="AK95" i="16"/>
  <c r="AK100" i="16"/>
  <c r="AK98" i="16" s="1"/>
  <c r="Q275" i="16"/>
  <c r="Q506" i="16"/>
  <c r="BC503" i="16"/>
  <c r="BC510" i="16" s="1"/>
  <c r="BC532" i="16" s="1"/>
  <c r="BC508" i="16"/>
  <c r="AD133" i="16"/>
  <c r="BM134" i="16"/>
  <c r="J169" i="16"/>
  <c r="K169" i="16" s="1"/>
  <c r="L169" i="16"/>
  <c r="BK169" i="16"/>
  <c r="N165" i="16"/>
  <c r="BG500" i="16"/>
  <c r="BG499" i="16"/>
  <c r="BG191" i="16"/>
  <c r="BG494" i="16" s="1"/>
  <c r="BG498" i="16"/>
  <c r="BN177" i="16"/>
  <c r="BK78" i="16"/>
  <c r="J78" i="16"/>
  <c r="K78" i="16" s="1"/>
  <c r="L78" i="16"/>
  <c r="L105" i="16"/>
  <c r="J105" i="16"/>
  <c r="K105" i="16" s="1"/>
  <c r="T72" i="16"/>
  <c r="W72" i="16"/>
  <c r="J81" i="16"/>
  <c r="K81" i="16" s="1"/>
  <c r="L81" i="16"/>
  <c r="BK15" i="16"/>
  <c r="J15" i="16"/>
  <c r="L15" i="16"/>
  <c r="Q115" i="16"/>
  <c r="Q113" i="16" s="1"/>
  <c r="Y115" i="16"/>
  <c r="Y113" i="16" s="1"/>
  <c r="O115" i="16"/>
  <c r="O113" i="16" s="1"/>
  <c r="R115" i="16"/>
  <c r="R113" i="16" s="1"/>
  <c r="U115" i="16"/>
  <c r="U113" i="16" s="1"/>
  <c r="X115" i="16"/>
  <c r="X113" i="16" s="1"/>
  <c r="AA115" i="16"/>
  <c r="P115" i="16"/>
  <c r="P113" i="16" s="1"/>
  <c r="S115" i="16"/>
  <c r="S113" i="16" s="1"/>
  <c r="V115" i="16"/>
  <c r="V113" i="16" s="1"/>
  <c r="T115" i="16"/>
  <c r="T113" i="16" s="1"/>
  <c r="W115" i="16"/>
  <c r="W113" i="16" s="1"/>
  <c r="Z115" i="16"/>
  <c r="Z113" i="16" s="1"/>
  <c r="AV115" i="16"/>
  <c r="AV113" i="16" s="1"/>
  <c r="AB115" i="16"/>
  <c r="BL115" i="16" s="1"/>
  <c r="N115" i="16"/>
  <c r="AK92" i="16"/>
  <c r="V275" i="16"/>
  <c r="V504" i="16" s="1"/>
  <c r="V506" i="16"/>
  <c r="BK163" i="16"/>
  <c r="J163" i="16"/>
  <c r="K163" i="16" s="1"/>
  <c r="L163" i="16"/>
  <c r="J154" i="16"/>
  <c r="K154" i="16" s="1"/>
  <c r="N181" i="16"/>
  <c r="BK154" i="16"/>
  <c r="L154" i="16"/>
  <c r="AJ133" i="16"/>
  <c r="AJ501" i="16"/>
  <c r="U165" i="16"/>
  <c r="Q11" i="16"/>
  <c r="P72" i="16"/>
  <c r="AB506" i="16"/>
  <c r="BL276" i="16"/>
  <c r="AB275" i="16"/>
  <c r="J143" i="16"/>
  <c r="K143" i="16" s="1"/>
  <c r="L143" i="16"/>
  <c r="BK143" i="16"/>
  <c r="BM160" i="16"/>
  <c r="AB160" i="16"/>
  <c r="BL160" i="16"/>
  <c r="O160" i="16"/>
  <c r="O156" i="16" s="1"/>
  <c r="R160" i="16"/>
  <c r="S160" i="16"/>
  <c r="P160" i="16"/>
  <c r="U160" i="16"/>
  <c r="T160" i="16"/>
  <c r="T156" i="16" s="1"/>
  <c r="W160" i="16"/>
  <c r="W156" i="16" s="1"/>
  <c r="Z160" i="16"/>
  <c r="Z156" i="16" s="1"/>
  <c r="AA160" i="16"/>
  <c r="Q160" i="16"/>
  <c r="V160" i="16"/>
  <c r="X160" i="16"/>
  <c r="X156" i="16" s="1"/>
  <c r="Y160" i="16"/>
  <c r="N160" i="16"/>
  <c r="BN161" i="16"/>
  <c r="L161" i="16"/>
  <c r="BN493" i="16"/>
  <c r="T11" i="16"/>
  <c r="BK111" i="16"/>
  <c r="L111" i="16"/>
  <c r="J111" i="16"/>
  <c r="K111" i="16" s="1"/>
  <c r="Y72" i="16"/>
  <c r="AV501" i="16"/>
  <c r="BN114" i="16"/>
  <c r="AO100" i="16"/>
  <c r="AO98" i="16" s="1"/>
  <c r="AO95" i="16"/>
  <c r="J158" i="16"/>
  <c r="K158" i="16" s="1"/>
  <c r="BM158" i="16"/>
  <c r="L158" i="16"/>
  <c r="AE506" i="16"/>
  <c r="AE275" i="16"/>
  <c r="AE504" i="16" s="1"/>
  <c r="P502" i="16"/>
  <c r="BM271" i="16"/>
  <c r="AI506" i="16"/>
  <c r="L271" i="16"/>
  <c r="J271" i="16"/>
  <c r="BD500" i="16"/>
  <c r="R506" i="16"/>
  <c r="R275" i="16"/>
  <c r="BL154" i="16"/>
  <c r="AB181" i="16"/>
  <c r="R11" i="16"/>
  <c r="AJ98" i="16"/>
  <c r="AJ499" i="16"/>
  <c r="AJ500" i="16"/>
  <c r="W11" i="16"/>
  <c r="U72" i="16"/>
  <c r="U11" i="16"/>
  <c r="AL133" i="16"/>
  <c r="AL501" i="16"/>
  <c r="AB133" i="16"/>
  <c r="BL133" i="16" s="1"/>
  <c r="BL134" i="16"/>
  <c r="AO92" i="16"/>
  <c r="AD506" i="16"/>
  <c r="AD275" i="16"/>
  <c r="AI273" i="16"/>
  <c r="I272" i="16"/>
  <c r="BK177" i="16"/>
  <c r="J177" i="16"/>
  <c r="K177" i="16" s="1"/>
  <c r="L177" i="16"/>
  <c r="X506" i="16"/>
  <c r="X275" i="16"/>
  <c r="BK148" i="16"/>
  <c r="BE503" i="16"/>
  <c r="BE510" i="16" s="1"/>
  <c r="BE532" i="16" s="1"/>
  <c r="BE508" i="16"/>
  <c r="J103" i="16"/>
  <c r="K103" i="16" s="1"/>
  <c r="L103" i="16"/>
  <c r="S11" i="16"/>
  <c r="BK103" i="16"/>
  <c r="BL157" i="16"/>
  <c r="L157" i="16"/>
  <c r="J157" i="16"/>
  <c r="K157" i="16" s="1"/>
  <c r="W502" i="16"/>
  <c r="S502" i="16"/>
  <c r="J80" i="16" l="1"/>
  <c r="K80" i="16" s="1"/>
  <c r="BK155" i="16"/>
  <c r="BK80" i="16"/>
  <c r="L80" i="16"/>
  <c r="L155" i="16"/>
  <c r="N107" i="16"/>
  <c r="BK107" i="16" s="1"/>
  <c r="AA96" i="16"/>
  <c r="BK109" i="16"/>
  <c r="L102" i="16"/>
  <c r="J102" i="16"/>
  <c r="K102" i="16" s="1"/>
  <c r="J147" i="16"/>
  <c r="K147" i="16" s="1"/>
  <c r="J109" i="16"/>
  <c r="K109" i="16" s="1"/>
  <c r="AA156" i="16"/>
  <c r="BK147" i="16"/>
  <c r="J134" i="16"/>
  <c r="K134" i="16" s="1"/>
  <c r="L109" i="16"/>
  <c r="AX499" i="16"/>
  <c r="AX503" i="16" s="1"/>
  <c r="AX510" i="16" s="1"/>
  <c r="AX532" i="16" s="1"/>
  <c r="AX500" i="16"/>
  <c r="N133" i="16"/>
  <c r="BN133" i="16"/>
  <c r="BK102" i="16"/>
  <c r="L17" i="16"/>
  <c r="J148" i="16"/>
  <c r="K148" i="16" s="1"/>
  <c r="L124" i="16"/>
  <c r="L76" i="16"/>
  <c r="AL500" i="16"/>
  <c r="BK17" i="16"/>
  <c r="U83" i="16"/>
  <c r="J17" i="16"/>
  <c r="K17" i="16" s="1"/>
  <c r="AC506" i="16"/>
  <c r="AC507" i="16" s="1"/>
  <c r="O11" i="16"/>
  <c r="AE16" i="17"/>
  <c r="AC275" i="16"/>
  <c r="AC504" i="16" s="1"/>
  <c r="O72" i="16"/>
  <c r="J124" i="16"/>
  <c r="K124" i="16" s="1"/>
  <c r="J193" i="16"/>
  <c r="K193" i="16" s="1"/>
  <c r="L148" i="16"/>
  <c r="BK76" i="16"/>
  <c r="BK124" i="16"/>
  <c r="J76" i="16"/>
  <c r="K76" i="16" s="1"/>
  <c r="AA122" i="16"/>
  <c r="Z96" i="16"/>
  <c r="Z131" i="16"/>
  <c r="Z129" i="16" s="1"/>
  <c r="BK134" i="16"/>
  <c r="BN112" i="16"/>
  <c r="J146" i="16"/>
  <c r="K146" i="16" s="1"/>
  <c r="BK146" i="16"/>
  <c r="L134" i="16"/>
  <c r="L153" i="16"/>
  <c r="N275" i="16"/>
  <c r="BK275" i="16" s="1"/>
  <c r="J142" i="16"/>
  <c r="K142" i="16" s="1"/>
  <c r="J153" i="16"/>
  <c r="K153" i="16" s="1"/>
  <c r="L276" i="16"/>
  <c r="BK276" i="16"/>
  <c r="J276" i="16"/>
  <c r="K276" i="16" s="1"/>
  <c r="BK79" i="16"/>
  <c r="J145" i="16"/>
  <c r="K145" i="16" s="1"/>
  <c r="J79" i="16"/>
  <c r="K79" i="16" s="1"/>
  <c r="L79" i="16"/>
  <c r="L145" i="16"/>
  <c r="BK142" i="16"/>
  <c r="L142" i="16"/>
  <c r="J114" i="16"/>
  <c r="K114" i="16" s="1"/>
  <c r="AA113" i="16"/>
  <c r="L114" i="16"/>
  <c r="AA110" i="16"/>
  <c r="AA106" i="16" s="1"/>
  <c r="U502" i="16"/>
  <c r="U509" i="16" s="1"/>
  <c r="U525" i="16" s="1"/>
  <c r="I525" i="16" s="1"/>
  <c r="J144" i="16"/>
  <c r="K144" i="16" s="1"/>
  <c r="BN110" i="16"/>
  <c r="Z206" i="16"/>
  <c r="Z205" i="16" s="1"/>
  <c r="Z201" i="16" s="1"/>
  <c r="Z194" i="16" s="1"/>
  <c r="Z118" i="16"/>
  <c r="Z116" i="16" s="1"/>
  <c r="BK144" i="16"/>
  <c r="Z85" i="16"/>
  <c r="Z83" i="16" s="1"/>
  <c r="Z141" i="16"/>
  <c r="Z502" i="16" s="1"/>
  <c r="Z509" i="16" s="1"/>
  <c r="L193" i="16"/>
  <c r="BL208" i="16"/>
  <c r="AM191" i="16"/>
  <c r="Q156" i="16"/>
  <c r="N96" i="16"/>
  <c r="S156" i="16"/>
  <c r="Z93" i="16"/>
  <c r="AB107" i="16"/>
  <c r="BM156" i="16"/>
  <c r="R156" i="16"/>
  <c r="AN500" i="16"/>
  <c r="X96" i="16"/>
  <c r="V156" i="16"/>
  <c r="AI499" i="16"/>
  <c r="AI503" i="16" s="1"/>
  <c r="BK112" i="16"/>
  <c r="AN498" i="16"/>
  <c r="W110" i="16"/>
  <c r="W106" i="16" s="1"/>
  <c r="Y156" i="16"/>
  <c r="U156" i="16"/>
  <c r="O106" i="16"/>
  <c r="AG507" i="16"/>
  <c r="Z99" i="16"/>
  <c r="AB156" i="16"/>
  <c r="AB180" i="16" s="1"/>
  <c r="N106" i="16"/>
  <c r="P156" i="16"/>
  <c r="S116" i="16"/>
  <c r="AN499" i="16"/>
  <c r="AN508" i="16" s="1"/>
  <c r="AI136" i="16"/>
  <c r="AI151" i="16" s="1"/>
  <c r="AI191" i="16" s="1"/>
  <c r="N93" i="16"/>
  <c r="Z106" i="16"/>
  <c r="W116" i="16"/>
  <c r="P106" i="16"/>
  <c r="AE20" i="17"/>
  <c r="C21" i="17"/>
  <c r="Q6" i="37"/>
  <c r="R6" i="37"/>
  <c r="Q8" i="37"/>
  <c r="R8" i="37"/>
  <c r="Q7" i="37"/>
  <c r="R7" i="37"/>
  <c r="BM8" i="16"/>
  <c r="U8" i="16"/>
  <c r="S8" i="16"/>
  <c r="Y8" i="16"/>
  <c r="N8" i="16"/>
  <c r="R8" i="16"/>
  <c r="Z8" i="16"/>
  <c r="O8" i="16"/>
  <c r="AC4" i="16"/>
  <c r="W8" i="16"/>
  <c r="V8" i="16"/>
  <c r="Q8" i="16"/>
  <c r="AA8" i="16"/>
  <c r="P8" i="16"/>
  <c r="X8" i="16"/>
  <c r="T8" i="16"/>
  <c r="BL8" i="16"/>
  <c r="Q21" i="37"/>
  <c r="R21" i="37"/>
  <c r="L130" i="16"/>
  <c r="N129" i="16"/>
  <c r="J130" i="16"/>
  <c r="K130" i="16" s="1"/>
  <c r="BK130" i="16"/>
  <c r="L120" i="16"/>
  <c r="J120" i="16"/>
  <c r="K120" i="16" s="1"/>
  <c r="BK120" i="16"/>
  <c r="N116" i="16"/>
  <c r="R11" i="37"/>
  <c r="Q11" i="37"/>
  <c r="R12" i="37"/>
  <c r="Q12" i="37"/>
  <c r="T117" i="16"/>
  <c r="T206" i="16"/>
  <c r="T205" i="16" s="1"/>
  <c r="T201" i="16" s="1"/>
  <c r="T194" i="16" s="1"/>
  <c r="T118" i="16"/>
  <c r="T131" i="16"/>
  <c r="T129" i="16" s="1"/>
  <c r="T141" i="16"/>
  <c r="T502" i="16" s="1"/>
  <c r="T509" i="16" s="1"/>
  <c r="T85" i="16"/>
  <c r="T83" i="16" s="1"/>
  <c r="V117" i="16"/>
  <c r="V118" i="16"/>
  <c r="V131" i="16"/>
  <c r="V129" i="16" s="1"/>
  <c r="V206" i="16"/>
  <c r="V205" i="16" s="1"/>
  <c r="V201" i="16" s="1"/>
  <c r="V194" i="16" s="1"/>
  <c r="V85" i="16"/>
  <c r="V83" i="16" s="1"/>
  <c r="V141" i="16"/>
  <c r="V502" i="16" s="1"/>
  <c r="V509" i="16" s="1"/>
  <c r="AE131" i="16"/>
  <c r="AE206" i="16"/>
  <c r="AE205" i="16" s="1"/>
  <c r="AE201" i="16" s="1"/>
  <c r="R18" i="37"/>
  <c r="Q18" i="37"/>
  <c r="BM130" i="16"/>
  <c r="AB117" i="16"/>
  <c r="AB118" i="16"/>
  <c r="BL118" i="16" s="1"/>
  <c r="AB131" i="16"/>
  <c r="BL131" i="16" s="1"/>
  <c r="AB206" i="16"/>
  <c r="AB141" i="16"/>
  <c r="BL141" i="16" s="1"/>
  <c r="J108" i="16"/>
  <c r="K108" i="16" s="1"/>
  <c r="BK108" i="16"/>
  <c r="L108" i="16"/>
  <c r="AA10" i="16"/>
  <c r="BL10" i="16"/>
  <c r="BM10" i="16"/>
  <c r="Z10" i="16"/>
  <c r="Q10" i="16"/>
  <c r="P10" i="16"/>
  <c r="N10" i="16"/>
  <c r="S10" i="16"/>
  <c r="T10" i="16"/>
  <c r="W10" i="16"/>
  <c r="U10" i="16"/>
  <c r="X10" i="16"/>
  <c r="O10" i="16"/>
  <c r="V10" i="16"/>
  <c r="R10" i="16"/>
  <c r="Y10" i="16"/>
  <c r="O116" i="16"/>
  <c r="AD131" i="16"/>
  <c r="AD206" i="16"/>
  <c r="AD205" i="16" s="1"/>
  <c r="AD201" i="16" s="1"/>
  <c r="Q117" i="16"/>
  <c r="Q206" i="16"/>
  <c r="Q205" i="16" s="1"/>
  <c r="Q201" i="16" s="1"/>
  <c r="Q194" i="16" s="1"/>
  <c r="Q118" i="16"/>
  <c r="Q131" i="16"/>
  <c r="Q141" i="16"/>
  <c r="Q85" i="16"/>
  <c r="N205" i="16"/>
  <c r="R10" i="37"/>
  <c r="Q10" i="37"/>
  <c r="R5" i="37"/>
  <c r="Q5" i="37"/>
  <c r="P116" i="16"/>
  <c r="U116" i="16"/>
  <c r="Q20" i="37"/>
  <c r="R20" i="37"/>
  <c r="AC131" i="16"/>
  <c r="AC206" i="16"/>
  <c r="BL130" i="16"/>
  <c r="R117" i="16"/>
  <c r="R118" i="16"/>
  <c r="R131" i="16"/>
  <c r="R129" i="16" s="1"/>
  <c r="R206" i="16"/>
  <c r="R205" i="16" s="1"/>
  <c r="R201" i="16" s="1"/>
  <c r="R194" i="16" s="1"/>
  <c r="R141" i="16"/>
  <c r="R502" i="16" s="1"/>
  <c r="R509" i="16" s="1"/>
  <c r="R85" i="16"/>
  <c r="R83" i="16" s="1"/>
  <c r="L112" i="16"/>
  <c r="R4" i="37"/>
  <c r="Q4" i="37"/>
  <c r="R13" i="37"/>
  <c r="Q13" i="37"/>
  <c r="R9" i="37"/>
  <c r="Q9" i="37"/>
  <c r="X117" i="16"/>
  <c r="X206" i="16"/>
  <c r="X205" i="16" s="1"/>
  <c r="X201" i="16" s="1"/>
  <c r="X194" i="16" s="1"/>
  <c r="X118" i="16"/>
  <c r="X131" i="16"/>
  <c r="X85" i="16"/>
  <c r="X83" i="16" s="1"/>
  <c r="X141" i="16"/>
  <c r="X502" i="16" s="1"/>
  <c r="X509" i="16" s="1"/>
  <c r="X528" i="16" s="1"/>
  <c r="I528" i="16" s="1"/>
  <c r="Y117" i="16"/>
  <c r="Y118" i="16"/>
  <c r="Y131" i="16"/>
  <c r="Y129" i="16" s="1"/>
  <c r="Y206" i="16"/>
  <c r="Y205" i="16" s="1"/>
  <c r="Y201" i="16" s="1"/>
  <c r="Y194" i="16" s="1"/>
  <c r="Y141" i="16"/>
  <c r="Y502" i="16" s="1"/>
  <c r="Y509" i="16" s="1"/>
  <c r="Y527" i="16" s="1"/>
  <c r="Y85" i="16"/>
  <c r="Y83" i="16" s="1"/>
  <c r="R19" i="37"/>
  <c r="Q19" i="37"/>
  <c r="Q22" i="37"/>
  <c r="R22" i="37"/>
  <c r="AA117" i="16"/>
  <c r="AA118" i="16"/>
  <c r="AA131" i="16"/>
  <c r="AA129" i="16" s="1"/>
  <c r="AA141" i="16"/>
  <c r="AA502" i="16" s="1"/>
  <c r="AA509" i="16" s="1"/>
  <c r="J162" i="16"/>
  <c r="K162" i="16" s="1"/>
  <c r="L162" i="16"/>
  <c r="BK162" i="16"/>
  <c r="O99" i="16"/>
  <c r="N99" i="16"/>
  <c r="AA93" i="16"/>
  <c r="AI498" i="16"/>
  <c r="O93" i="16"/>
  <c r="AA99" i="16"/>
  <c r="AK500" i="16"/>
  <c r="X359" i="16"/>
  <c r="X355" i="16" s="1"/>
  <c r="AK499" i="16"/>
  <c r="AK508" i="16" s="1"/>
  <c r="AO500" i="16"/>
  <c r="AK136" i="16"/>
  <c r="AK151" i="16" s="1"/>
  <c r="AK191" i="16" s="1"/>
  <c r="AK494" i="16" s="1"/>
  <c r="AO499" i="16"/>
  <c r="AO508" i="16" s="1"/>
  <c r="AT503" i="16"/>
  <c r="AT510" i="16" s="1"/>
  <c r="AT532" i="16" s="1"/>
  <c r="AT508" i="16"/>
  <c r="AU191" i="16"/>
  <c r="AU494" i="16" s="1"/>
  <c r="Y359" i="16"/>
  <c r="Y355" i="16" s="1"/>
  <c r="Y504" i="16" s="1"/>
  <c r="AG95" i="16"/>
  <c r="AG498" i="16" s="1"/>
  <c r="J112" i="16"/>
  <c r="K112" i="16" s="1"/>
  <c r="AK498" i="16"/>
  <c r="R359" i="16"/>
  <c r="R355" i="16" s="1"/>
  <c r="R504" i="16" s="1"/>
  <c r="J268" i="16"/>
  <c r="K268" i="16" s="1"/>
  <c r="AW498" i="16"/>
  <c r="AW136" i="16"/>
  <c r="AW151" i="16" s="1"/>
  <c r="AW191" i="16" s="1"/>
  <c r="AW494" i="16" s="1"/>
  <c r="N505" i="16"/>
  <c r="N507" i="16" s="1"/>
  <c r="AN191" i="16"/>
  <c r="AN494" i="16" s="1"/>
  <c r="AJ493" i="16"/>
  <c r="AN507" i="16"/>
  <c r="AN267" i="16"/>
  <c r="AN265" i="16" s="1"/>
  <c r="AN504" i="16" s="1"/>
  <c r="BM268" i="16"/>
  <c r="S359" i="16"/>
  <c r="S355" i="16" s="1"/>
  <c r="S504" i="16" s="1"/>
  <c r="I367" i="16"/>
  <c r="I505" i="16" s="1"/>
  <c r="I507" i="16" s="1"/>
  <c r="O359" i="16"/>
  <c r="O355" i="16" s="1"/>
  <c r="AI509" i="16"/>
  <c r="W509" i="16"/>
  <c r="W527" i="16" s="1"/>
  <c r="BH503" i="16"/>
  <c r="BH510" i="16" s="1"/>
  <c r="BH532" i="16" s="1"/>
  <c r="BH508" i="16"/>
  <c r="AA359" i="16"/>
  <c r="AA355" i="16" s="1"/>
  <c r="AA504" i="16" s="1"/>
  <c r="BM208" i="16"/>
  <c r="AB359" i="16"/>
  <c r="BL359" i="16" s="1"/>
  <c r="Q505" i="16"/>
  <c r="Q493" i="16" s="1"/>
  <c r="Y507" i="16"/>
  <c r="BL361" i="16"/>
  <c r="AB122" i="16"/>
  <c r="BL122" i="16" s="1"/>
  <c r="U504" i="16"/>
  <c r="U505" i="16"/>
  <c r="U493" i="16" s="1"/>
  <c r="J175" i="16"/>
  <c r="K175" i="16" s="1"/>
  <c r="X93" i="16"/>
  <c r="J11" i="16"/>
  <c r="K11" i="16" s="1"/>
  <c r="BM502" i="16"/>
  <c r="P504" i="16"/>
  <c r="T359" i="16"/>
  <c r="T355" i="16" s="1"/>
  <c r="T504" i="16" s="1"/>
  <c r="W505" i="16"/>
  <c r="W507" i="16" s="1"/>
  <c r="AL493" i="16"/>
  <c r="BB503" i="16"/>
  <c r="BB510" i="16" s="1"/>
  <c r="BB532" i="16" s="1"/>
  <c r="P505" i="16"/>
  <c r="P507" i="16" s="1"/>
  <c r="AH100" i="16"/>
  <c r="BK361" i="16"/>
  <c r="L361" i="16"/>
  <c r="J361" i="16"/>
  <c r="K361" i="16" s="1"/>
  <c r="BN502" i="16"/>
  <c r="Z359" i="16"/>
  <c r="Z355" i="16" s="1"/>
  <c r="Z504" i="16" s="1"/>
  <c r="Z505" i="16"/>
  <c r="BM492" i="16"/>
  <c r="AH490" i="16"/>
  <c r="J490" i="16" s="1"/>
  <c r="K490" i="16" s="1"/>
  <c r="Q504" i="16"/>
  <c r="T493" i="16"/>
  <c r="S509" i="16"/>
  <c r="AH505" i="16"/>
  <c r="AH507" i="16" s="1"/>
  <c r="L492" i="16"/>
  <c r="L123" i="16"/>
  <c r="J123" i="16"/>
  <c r="K123" i="16" s="1"/>
  <c r="BK123" i="16"/>
  <c r="P122" i="16"/>
  <c r="P509" i="16"/>
  <c r="AF95" i="16"/>
  <c r="AF100" i="16"/>
  <c r="AS508" i="16"/>
  <c r="AS503" i="16"/>
  <c r="AS510" i="16" s="1"/>
  <c r="AS532" i="16" s="1"/>
  <c r="AU500" i="16"/>
  <c r="AU499" i="16"/>
  <c r="AM493" i="16"/>
  <c r="AM507" i="16"/>
  <c r="AM510" i="16" s="1"/>
  <c r="AM532" i="16" s="1"/>
  <c r="AM543" i="16" s="1"/>
  <c r="AM508" i="16"/>
  <c r="AM265" i="16"/>
  <c r="AO267" i="16"/>
  <c r="AO265" i="16" s="1"/>
  <c r="AO504" i="16" s="1"/>
  <c r="L268" i="16"/>
  <c r="AA507" i="16"/>
  <c r="AO136" i="16"/>
  <c r="AO151" i="16" s="1"/>
  <c r="AO191" i="16" s="1"/>
  <c r="BK72" i="16"/>
  <c r="AA493" i="16"/>
  <c r="BM93" i="16"/>
  <c r="L175" i="16"/>
  <c r="R165" i="16"/>
  <c r="BK165" i="16" s="1"/>
  <c r="AR503" i="16"/>
  <c r="AR510" i="16" s="1"/>
  <c r="AR532" i="16" s="1"/>
  <c r="AR508" i="16"/>
  <c r="AC99" i="16"/>
  <c r="BM99" i="16" s="1"/>
  <c r="BM96" i="16"/>
  <c r="BK175" i="16"/>
  <c r="T507" i="16"/>
  <c r="AR498" i="16"/>
  <c r="AR136" i="16"/>
  <c r="AR151" i="16" s="1"/>
  <c r="AR191" i="16" s="1"/>
  <c r="AR494" i="16" s="1"/>
  <c r="BN92" i="16"/>
  <c r="AX136" i="16"/>
  <c r="AX151" i="16" s="1"/>
  <c r="AX191" i="16" s="1"/>
  <c r="AX494" i="16" s="1"/>
  <c r="AX498" i="16"/>
  <c r="BN106" i="16"/>
  <c r="Y493" i="16"/>
  <c r="BN501" i="16"/>
  <c r="AJ136" i="16"/>
  <c r="AJ151" i="16" s="1"/>
  <c r="AJ191" i="16" s="1"/>
  <c r="S507" i="16"/>
  <c r="S493" i="16"/>
  <c r="AE509" i="16"/>
  <c r="AE507" i="16"/>
  <c r="AE493" i="16"/>
  <c r="BN113" i="16"/>
  <c r="AV136" i="16"/>
  <c r="AV151" i="16" s="1"/>
  <c r="AV498" i="16"/>
  <c r="Y96" i="16"/>
  <c r="Y99" i="16"/>
  <c r="Y93" i="16"/>
  <c r="T93" i="16"/>
  <c r="T96" i="16"/>
  <c r="T99" i="16"/>
  <c r="Q99" i="16"/>
  <c r="Q93" i="16"/>
  <c r="Q96" i="16"/>
  <c r="L115" i="16"/>
  <c r="J115" i="16"/>
  <c r="K115" i="16" s="1"/>
  <c r="BK115" i="16"/>
  <c r="J192" i="16"/>
  <c r="K192" i="16" s="1"/>
  <c r="BK192" i="16"/>
  <c r="L192" i="16" s="1"/>
  <c r="BG503" i="16"/>
  <c r="BG510" i="16" s="1"/>
  <c r="BG532" i="16" s="1"/>
  <c r="BG508" i="16"/>
  <c r="AL498" i="16"/>
  <c r="AC179" i="16"/>
  <c r="BM179" i="16" s="1"/>
  <c r="BM180" i="16"/>
  <c r="AC183" i="16"/>
  <c r="V507" i="16"/>
  <c r="V493" i="16"/>
  <c r="AD504" i="16"/>
  <c r="AB184" i="16"/>
  <c r="BL181" i="16"/>
  <c r="K271" i="16"/>
  <c r="BN115" i="16"/>
  <c r="AV500" i="16"/>
  <c r="AO498" i="16"/>
  <c r="BK11" i="16"/>
  <c r="AB113" i="16"/>
  <c r="BL113" i="16" s="1"/>
  <c r="V99" i="16"/>
  <c r="L11" i="16"/>
  <c r="AD507" i="16"/>
  <c r="AD493" i="16"/>
  <c r="AD509" i="16"/>
  <c r="R96" i="16"/>
  <c r="R99" i="16"/>
  <c r="R93" i="16"/>
  <c r="K15" i="16"/>
  <c r="V96" i="16"/>
  <c r="X493" i="16"/>
  <c r="X507" i="16"/>
  <c r="N184" i="16"/>
  <c r="J181" i="16"/>
  <c r="K181" i="16" s="1"/>
  <c r="BK181" i="16"/>
  <c r="L181" i="16"/>
  <c r="R507" i="16"/>
  <c r="R493" i="16"/>
  <c r="X99" i="16"/>
  <c r="BL275" i="16"/>
  <c r="L72" i="16"/>
  <c r="V93" i="16"/>
  <c r="S93" i="16"/>
  <c r="S96" i="16"/>
  <c r="S99" i="16"/>
  <c r="I125" i="16"/>
  <c r="N113" i="16"/>
  <c r="U93" i="16"/>
  <c r="U96" i="16"/>
  <c r="U99" i="16"/>
  <c r="AJ508" i="16"/>
  <c r="AJ503" i="16"/>
  <c r="AJ510" i="16" s="1"/>
  <c r="AJ532" i="16" s="1"/>
  <c r="AJ543" i="16" s="1"/>
  <c r="AJ498" i="16"/>
  <c r="AG499" i="16"/>
  <c r="AV499" i="16"/>
  <c r="P99" i="16"/>
  <c r="P93" i="16"/>
  <c r="P96" i="16"/>
  <c r="J72" i="16"/>
  <c r="K72" i="16" s="1"/>
  <c r="BM133" i="16"/>
  <c r="AI272" i="16"/>
  <c r="J273" i="16"/>
  <c r="AI505" i="16"/>
  <c r="L273" i="16"/>
  <c r="BM273" i="16"/>
  <c r="W96" i="16"/>
  <c r="W99" i="16"/>
  <c r="W93" i="16"/>
  <c r="AG500" i="16"/>
  <c r="L160" i="16"/>
  <c r="J160" i="16"/>
  <c r="K160" i="16" s="1"/>
  <c r="N156" i="16"/>
  <c r="BK160" i="16"/>
  <c r="BL506" i="16"/>
  <c r="BL507" i="16" s="1"/>
  <c r="AB507" i="16"/>
  <c r="AB493" i="16"/>
  <c r="BL493" i="16" s="1"/>
  <c r="AL136" i="16"/>
  <c r="AL151" i="16" s="1"/>
  <c r="AL191" i="16" s="1"/>
  <c r="AL508" i="16"/>
  <c r="AL503" i="16"/>
  <c r="AL510" i="16" s="1"/>
  <c r="AL532" i="16" s="1"/>
  <c r="AL543" i="16" s="1"/>
  <c r="BK133" i="16"/>
  <c r="J133" i="16"/>
  <c r="K133" i="16" s="1"/>
  <c r="L133" i="16"/>
  <c r="J107" i="16" l="1"/>
  <c r="K107" i="16" s="1"/>
  <c r="J275" i="16"/>
  <c r="K275" i="16" s="1"/>
  <c r="L275" i="16"/>
  <c r="BM275" i="16"/>
  <c r="AX508" i="16"/>
  <c r="N504" i="16"/>
  <c r="AC509" i="16"/>
  <c r="AC493" i="16"/>
  <c r="Z501" i="16"/>
  <c r="O96" i="16"/>
  <c r="L96" i="16" s="1"/>
  <c r="BM506" i="16"/>
  <c r="I527" i="16"/>
  <c r="AM494" i="16"/>
  <c r="L525" i="16"/>
  <c r="L528" i="16"/>
  <c r="L107" i="16"/>
  <c r="AB106" i="16"/>
  <c r="BL106" i="16" s="1"/>
  <c r="BL107" i="16"/>
  <c r="AN503" i="16"/>
  <c r="AN510" i="16" s="1"/>
  <c r="AN532" i="16" s="1"/>
  <c r="AN543" i="16" s="1"/>
  <c r="R116" i="16"/>
  <c r="BL156" i="16"/>
  <c r="V116" i="16"/>
  <c r="BK106" i="16"/>
  <c r="J110" i="16"/>
  <c r="K110" i="16" s="1"/>
  <c r="L110" i="16"/>
  <c r="BK110" i="16"/>
  <c r="Y116" i="16"/>
  <c r="N501" i="16"/>
  <c r="Q116" i="16"/>
  <c r="BK118" i="16"/>
  <c r="AA501" i="16"/>
  <c r="O4" i="16"/>
  <c r="D13" i="17" s="1"/>
  <c r="O501" i="16"/>
  <c r="BK131" i="16"/>
  <c r="AB129" i="16"/>
  <c r="BL129" i="16" s="1"/>
  <c r="L118" i="16"/>
  <c r="AA4" i="16"/>
  <c r="P13" i="17" s="1"/>
  <c r="L131" i="16"/>
  <c r="R4" i="16"/>
  <c r="G13" i="17" s="1"/>
  <c r="Q129" i="16"/>
  <c r="Q4" i="16"/>
  <c r="F13" i="17" s="1"/>
  <c r="J118" i="16"/>
  <c r="K118" i="16" s="1"/>
  <c r="J131" i="16"/>
  <c r="K131" i="16" s="1"/>
  <c r="J206" i="16"/>
  <c r="J10" i="16"/>
  <c r="K10" i="16" s="1"/>
  <c r="L10" i="16"/>
  <c r="BK10" i="16"/>
  <c r="BL206" i="16"/>
  <c r="AB205" i="16"/>
  <c r="Y4" i="16"/>
  <c r="N13" i="17" s="1"/>
  <c r="X129" i="16"/>
  <c r="N201" i="16"/>
  <c r="BK205" i="16"/>
  <c r="J141" i="16"/>
  <c r="K141" i="16" s="1"/>
  <c r="BK141" i="16"/>
  <c r="L141" i="16"/>
  <c r="Q502" i="16"/>
  <c r="Q509" i="16" s="1"/>
  <c r="BL117" i="16"/>
  <c r="AB116" i="16"/>
  <c r="BL116" i="16" s="1"/>
  <c r="L117" i="16"/>
  <c r="BM4" i="16"/>
  <c r="R13" i="17"/>
  <c r="L8" i="16"/>
  <c r="BK8" i="16"/>
  <c r="N4" i="16"/>
  <c r="J8" i="16"/>
  <c r="K8" i="16" s="1"/>
  <c r="AE21" i="17"/>
  <c r="N90" i="16"/>
  <c r="AA116" i="16"/>
  <c r="AC205" i="16"/>
  <c r="BM206" i="16"/>
  <c r="L206" i="16"/>
  <c r="T116" i="16"/>
  <c r="BK117" i="16"/>
  <c r="X4" i="16"/>
  <c r="M13" i="17" s="1"/>
  <c r="V4" i="16"/>
  <c r="K13" i="17" s="1"/>
  <c r="Z4" i="16"/>
  <c r="O13" i="17" s="1"/>
  <c r="S4" i="16"/>
  <c r="H13" i="17" s="1"/>
  <c r="AB501" i="16"/>
  <c r="BL501" i="16" s="1"/>
  <c r="X116" i="16"/>
  <c r="BM131" i="16"/>
  <c r="BK206" i="16"/>
  <c r="Q83" i="16"/>
  <c r="J85" i="16"/>
  <c r="K85" i="16" s="1"/>
  <c r="BK85" i="16"/>
  <c r="L85" i="16"/>
  <c r="T4" i="16"/>
  <c r="I13" i="17" s="1"/>
  <c r="J117" i="16"/>
  <c r="K117" i="16" s="1"/>
  <c r="P4" i="16"/>
  <c r="E13" i="17" s="1"/>
  <c r="W4" i="16"/>
  <c r="L13" i="17" s="1"/>
  <c r="U4" i="16"/>
  <c r="J13" i="17" s="1"/>
  <c r="AK503" i="16"/>
  <c r="AK510" i="16" s="1"/>
  <c r="AK532" i="16" s="1"/>
  <c r="AK543" i="16" s="1"/>
  <c r="AO503" i="16"/>
  <c r="Q507" i="16"/>
  <c r="AG136" i="16"/>
  <c r="AG151" i="16" s="1"/>
  <c r="AG191" i="16" s="1"/>
  <c r="AG494" i="16" s="1"/>
  <c r="J122" i="16"/>
  <c r="K122" i="16" s="1"/>
  <c r="AJ494" i="16"/>
  <c r="L527" i="16"/>
  <c r="N493" i="16"/>
  <c r="AB355" i="16"/>
  <c r="BL355" i="16" s="1"/>
  <c r="AC501" i="16"/>
  <c r="BM501" i="16" s="1"/>
  <c r="AL494" i="16"/>
  <c r="BM490" i="16"/>
  <c r="AH486" i="16"/>
  <c r="AH504" i="16" s="1"/>
  <c r="J165" i="16"/>
  <c r="K165" i="16" s="1"/>
  <c r="U507" i="16"/>
  <c r="L165" i="16"/>
  <c r="J93" i="16"/>
  <c r="K93" i="16" s="1"/>
  <c r="L122" i="16"/>
  <c r="J359" i="16"/>
  <c r="K359" i="16" s="1"/>
  <c r="BK122" i="16"/>
  <c r="L359" i="16"/>
  <c r="BK359" i="16"/>
  <c r="L490" i="16"/>
  <c r="BK505" i="16"/>
  <c r="W493" i="16"/>
  <c r="P493" i="16"/>
  <c r="AH98" i="16"/>
  <c r="AH499" i="16"/>
  <c r="AH503" i="16" s="1"/>
  <c r="AH510" i="16" s="1"/>
  <c r="AH532" i="16" s="1"/>
  <c r="AH543" i="16" s="1"/>
  <c r="AH500" i="16"/>
  <c r="Z507" i="16"/>
  <c r="Z493" i="16"/>
  <c r="AH493" i="16"/>
  <c r="BN500" i="16"/>
  <c r="I493" i="16"/>
  <c r="I494" i="16" s="1"/>
  <c r="M496" i="16" s="1"/>
  <c r="L267" i="16"/>
  <c r="AU503" i="16"/>
  <c r="AU510" i="16" s="1"/>
  <c r="AU532" i="16" s="1"/>
  <c r="AU508" i="16"/>
  <c r="AF98" i="16"/>
  <c r="AF498" i="16" s="1"/>
  <c r="AF499" i="16"/>
  <c r="AF500" i="16"/>
  <c r="BN498" i="16"/>
  <c r="AO493" i="16"/>
  <c r="AO494" i="16" s="1"/>
  <c r="AO507" i="16"/>
  <c r="J267" i="16"/>
  <c r="K267" i="16" s="1"/>
  <c r="BM267" i="16"/>
  <c r="BM265" i="16"/>
  <c r="L265" i="16"/>
  <c r="J265" i="16"/>
  <c r="K265" i="16" s="1"/>
  <c r="AM504" i="16"/>
  <c r="BM509" i="16"/>
  <c r="J96" i="16"/>
  <c r="K96" i="16" s="1"/>
  <c r="L106" i="16"/>
  <c r="BN136" i="16"/>
  <c r="BK99" i="16"/>
  <c r="AG503" i="16"/>
  <c r="AG510" i="16" s="1"/>
  <c r="AG532" i="16" s="1"/>
  <c r="AG543" i="16" s="1"/>
  <c r="AG508" i="16"/>
  <c r="W501" i="16"/>
  <c r="AV191" i="16"/>
  <c r="AV494" i="16" s="1"/>
  <c r="BN151" i="16"/>
  <c r="BN191" i="16" s="1"/>
  <c r="BN494" i="16" s="1"/>
  <c r="AV508" i="16"/>
  <c r="AV503" i="16"/>
  <c r="AV510" i="16" s="1"/>
  <c r="AV532" i="16" s="1"/>
  <c r="BN499" i="16"/>
  <c r="BN503" i="16" s="1"/>
  <c r="BN510" i="16" s="1"/>
  <c r="BN532" i="16" s="1"/>
  <c r="V501" i="16"/>
  <c r="L99" i="16"/>
  <c r="BK355" i="16"/>
  <c r="X504" i="16"/>
  <c r="BK156" i="16"/>
  <c r="J156" i="16"/>
  <c r="K156" i="16" s="1"/>
  <c r="L156" i="16"/>
  <c r="BK93" i="16"/>
  <c r="N187" i="16"/>
  <c r="J184" i="16"/>
  <c r="K184" i="16" s="1"/>
  <c r="L184" i="16"/>
  <c r="BK184" i="16"/>
  <c r="AC186" i="16"/>
  <c r="AC182" i="16"/>
  <c r="BM182" i="16" s="1"/>
  <c r="BM183" i="16"/>
  <c r="AI507" i="16"/>
  <c r="AI510" i="16" s="1"/>
  <c r="AI532" i="16" s="1"/>
  <c r="AI543" i="16" s="1"/>
  <c r="AI493" i="16"/>
  <c r="AI494" i="16" s="1"/>
  <c r="AI508" i="16"/>
  <c r="U501" i="16"/>
  <c r="I127" i="16"/>
  <c r="K127" i="16" s="1"/>
  <c r="K125" i="16"/>
  <c r="I126" i="16"/>
  <c r="I128" i="16"/>
  <c r="K128" i="16" s="1"/>
  <c r="AB187" i="16"/>
  <c r="BL184" i="16"/>
  <c r="T501" i="16"/>
  <c r="K273" i="16"/>
  <c r="AI270" i="16"/>
  <c r="J272" i="16"/>
  <c r="K272" i="16" s="1"/>
  <c r="BM272" i="16"/>
  <c r="L272" i="16"/>
  <c r="P501" i="16"/>
  <c r="BK113" i="16"/>
  <c r="J113" i="16"/>
  <c r="K113" i="16" s="1"/>
  <c r="L113" i="16"/>
  <c r="R501" i="16"/>
  <c r="X501" i="16"/>
  <c r="L93" i="16"/>
  <c r="BL180" i="16"/>
  <c r="AB179" i="16"/>
  <c r="BL179" i="16" s="1"/>
  <c r="AB183" i="16"/>
  <c r="S501" i="16"/>
  <c r="BK96" i="16"/>
  <c r="Y501" i="16"/>
  <c r="J99" i="16"/>
  <c r="K99" i="16" s="1"/>
  <c r="Q501" i="16"/>
  <c r="J106" i="16" l="1"/>
  <c r="K106" i="16" s="1"/>
  <c r="J129" i="16"/>
  <c r="K129" i="16" s="1"/>
  <c r="BK129" i="16"/>
  <c r="J205" i="16"/>
  <c r="K205" i="16" s="1"/>
  <c r="L129" i="16"/>
  <c r="BK116" i="16"/>
  <c r="C13" i="17"/>
  <c r="AE13" i="17" s="1"/>
  <c r="C14" i="17" s="1"/>
  <c r="N121" i="16" s="1"/>
  <c r="L4" i="16"/>
  <c r="J4" i="16"/>
  <c r="K4" i="16" s="1"/>
  <c r="BK4" i="16"/>
  <c r="AB201" i="16"/>
  <c r="BL205" i="16"/>
  <c r="N83" i="16"/>
  <c r="L90" i="16"/>
  <c r="J90" i="16"/>
  <c r="K90" i="16" s="1"/>
  <c r="BK90" i="16"/>
  <c r="L205" i="16"/>
  <c r="J116" i="16"/>
  <c r="K116" i="16" s="1"/>
  <c r="N194" i="16"/>
  <c r="BK201" i="16"/>
  <c r="L116" i="16"/>
  <c r="AC201" i="16"/>
  <c r="BM201" i="16" s="1"/>
  <c r="BM205" i="16"/>
  <c r="AB504" i="16"/>
  <c r="BL504" i="16" s="1"/>
  <c r="AO510" i="16"/>
  <c r="AO532" i="16" s="1"/>
  <c r="AO543" i="16" s="1"/>
  <c r="J486" i="16"/>
  <c r="K486" i="16" s="1"/>
  <c r="BM486" i="16"/>
  <c r="L486" i="16"/>
  <c r="J355" i="16"/>
  <c r="K355" i="16" s="1"/>
  <c r="L355" i="16"/>
  <c r="BN508" i="16"/>
  <c r="AH136" i="16"/>
  <c r="AH151" i="16" s="1"/>
  <c r="AH191" i="16" s="1"/>
  <c r="AH494" i="16" s="1"/>
  <c r="AH498" i="16"/>
  <c r="AH508" i="16"/>
  <c r="I498" i="16"/>
  <c r="AF136" i="16"/>
  <c r="AF151" i="16" s="1"/>
  <c r="AF191" i="16" s="1"/>
  <c r="AF503" i="16"/>
  <c r="L501" i="16"/>
  <c r="AC185" i="16"/>
  <c r="BM185" i="16" s="1"/>
  <c r="BM186" i="16"/>
  <c r="J187" i="16"/>
  <c r="BK187" i="16"/>
  <c r="L187" i="16"/>
  <c r="L502" i="16" s="1"/>
  <c r="BK501" i="16"/>
  <c r="BL187" i="16"/>
  <c r="AB502" i="16"/>
  <c r="K126" i="16"/>
  <c r="I499" i="16"/>
  <c r="N502" i="16"/>
  <c r="AB186" i="16"/>
  <c r="AB182" i="16"/>
  <c r="BL182" i="16" s="1"/>
  <c r="BL183" i="16"/>
  <c r="J501" i="16"/>
  <c r="K501" i="16" s="1"/>
  <c r="BM270" i="16"/>
  <c r="J270" i="16"/>
  <c r="L270" i="16"/>
  <c r="AI504" i="16"/>
  <c r="H14" i="17"/>
  <c r="G14" i="17"/>
  <c r="R14" i="17" l="1"/>
  <c r="AC82" i="16" s="1"/>
  <c r="AC91" i="16" s="1"/>
  <c r="M14" i="17"/>
  <c r="X82" i="16" s="1"/>
  <c r="L14" i="17"/>
  <c r="W82" i="16" s="1"/>
  <c r="D14" i="17"/>
  <c r="O152" i="16" s="1"/>
  <c r="O180" i="16" s="1"/>
  <c r="I14" i="17"/>
  <c r="T82" i="16" s="1"/>
  <c r="K14" i="17"/>
  <c r="V121" i="16" s="1"/>
  <c r="V119" i="16" s="1"/>
  <c r="N152" i="16"/>
  <c r="N180" i="16" s="1"/>
  <c r="T14" i="17"/>
  <c r="AE82" i="16" s="1"/>
  <c r="AE91" i="16" s="1"/>
  <c r="F14" i="17"/>
  <c r="Q82" i="16" s="1"/>
  <c r="S14" i="17"/>
  <c r="AD82" i="16" s="1"/>
  <c r="AD97" i="16" s="1"/>
  <c r="N82" i="16"/>
  <c r="N94" i="16" s="1"/>
  <c r="P14" i="17"/>
  <c r="AA82" i="16" s="1"/>
  <c r="E14" i="17"/>
  <c r="P121" i="16" s="1"/>
  <c r="P119" i="16" s="1"/>
  <c r="Q14" i="17"/>
  <c r="AB121" i="16" s="1"/>
  <c r="J14" i="17"/>
  <c r="U82" i="16" s="1"/>
  <c r="N14" i="17"/>
  <c r="Y121" i="16" s="1"/>
  <c r="Y119" i="16" s="1"/>
  <c r="O14" i="17"/>
  <c r="Z121" i="16" s="1"/>
  <c r="Z119" i="16" s="1"/>
  <c r="L201" i="16"/>
  <c r="J201" i="16"/>
  <c r="K201" i="16" s="1"/>
  <c r="BK83" i="16"/>
  <c r="J83" i="16"/>
  <c r="K83" i="16" s="1"/>
  <c r="L83" i="16"/>
  <c r="BK194" i="16"/>
  <c r="BL201" i="16"/>
  <c r="AB194" i="16"/>
  <c r="BL194" i="16" s="1"/>
  <c r="X121" i="16"/>
  <c r="X119" i="16" s="1"/>
  <c r="S82" i="16"/>
  <c r="S121" i="16"/>
  <c r="S119" i="16" s="1"/>
  <c r="S152" i="16"/>
  <c r="S180" i="16" s="1"/>
  <c r="K270" i="16"/>
  <c r="AB185" i="16"/>
  <c r="BL185" i="16" s="1"/>
  <c r="BL186" i="16"/>
  <c r="BK502" i="16"/>
  <c r="N509" i="16"/>
  <c r="I508" i="16"/>
  <c r="I503" i="16"/>
  <c r="R121" i="16"/>
  <c r="R119" i="16" s="1"/>
  <c r="R82" i="16"/>
  <c r="R152" i="16"/>
  <c r="R180" i="16" s="1"/>
  <c r="BL502" i="16"/>
  <c r="AB509" i="16"/>
  <c r="BL509" i="16" s="1"/>
  <c r="K187" i="16"/>
  <c r="J502" i="16"/>
  <c r="N119" i="16"/>
  <c r="AC94" i="16" l="1"/>
  <c r="AC92" i="16" s="1"/>
  <c r="V152" i="16"/>
  <c r="V180" i="16" s="1"/>
  <c r="V183" i="16" s="1"/>
  <c r="O121" i="16"/>
  <c r="O119" i="16" s="1"/>
  <c r="AC97" i="16"/>
  <c r="AC100" i="16" s="1"/>
  <c r="X152" i="16"/>
  <c r="X180" i="16" s="1"/>
  <c r="X183" i="16" s="1"/>
  <c r="O82" i="16"/>
  <c r="O94" i="16" s="1"/>
  <c r="N97" i="16"/>
  <c r="N95" i="16" s="1"/>
  <c r="W152" i="16"/>
  <c r="W180" i="16" s="1"/>
  <c r="W183" i="16" s="1"/>
  <c r="N91" i="16"/>
  <c r="W121" i="16"/>
  <c r="W119" i="16" s="1"/>
  <c r="V82" i="16"/>
  <c r="V91" i="16" s="1"/>
  <c r="T152" i="16"/>
  <c r="T180" i="16" s="1"/>
  <c r="T179" i="16" s="1"/>
  <c r="T121" i="16"/>
  <c r="T119" i="16" s="1"/>
  <c r="AE94" i="16"/>
  <c r="AE92" i="16" s="1"/>
  <c r="AE97" i="16"/>
  <c r="AE100" i="16" s="1"/>
  <c r="AE98" i="16" s="1"/>
  <c r="AD94" i="16"/>
  <c r="AD92" i="16" s="1"/>
  <c r="Q152" i="16"/>
  <c r="Q180" i="16" s="1"/>
  <c r="Q183" i="16" s="1"/>
  <c r="AD91" i="16"/>
  <c r="Q121" i="16"/>
  <c r="Q119" i="16" s="1"/>
  <c r="BM82" i="16"/>
  <c r="BM97" i="16" s="1"/>
  <c r="AB82" i="16"/>
  <c r="AB91" i="16" s="1"/>
  <c r="P82" i="16"/>
  <c r="P94" i="16" s="1"/>
  <c r="AA152" i="16"/>
  <c r="AA180" i="16" s="1"/>
  <c r="AA183" i="16" s="1"/>
  <c r="P152" i="16"/>
  <c r="P180" i="16" s="1"/>
  <c r="AA121" i="16"/>
  <c r="AA119" i="16" s="1"/>
  <c r="Z152" i="16"/>
  <c r="Z180" i="16" s="1"/>
  <c r="Z179" i="16" s="1"/>
  <c r="Y152" i="16"/>
  <c r="Y180" i="16" s="1"/>
  <c r="Y179" i="16" s="1"/>
  <c r="U152" i="16"/>
  <c r="U180" i="16" s="1"/>
  <c r="Y82" i="16"/>
  <c r="Y91" i="16" s="1"/>
  <c r="U121" i="16"/>
  <c r="U119" i="16" s="1"/>
  <c r="Z82" i="16"/>
  <c r="Z91" i="16" s="1"/>
  <c r="AE14" i="17"/>
  <c r="J194" i="16"/>
  <c r="K194" i="16" s="1"/>
  <c r="L194" i="16"/>
  <c r="AB119" i="16"/>
  <c r="BL119" i="16" s="1"/>
  <c r="BL121" i="16"/>
  <c r="R97" i="16"/>
  <c r="R94" i="16"/>
  <c r="R91" i="16"/>
  <c r="U91" i="16"/>
  <c r="U94" i="16"/>
  <c r="U97" i="16"/>
  <c r="W91" i="16"/>
  <c r="W94" i="16"/>
  <c r="W97" i="16"/>
  <c r="AA94" i="16"/>
  <c r="AA97" i="16"/>
  <c r="AA91" i="16"/>
  <c r="N183" i="16"/>
  <c r="N179" i="16"/>
  <c r="R179" i="16"/>
  <c r="R183" i="16"/>
  <c r="AD95" i="16"/>
  <c r="AD100" i="16"/>
  <c r="AD98" i="16" s="1"/>
  <c r="K502" i="16"/>
  <c r="Q97" i="16"/>
  <c r="Q94" i="16"/>
  <c r="Q91" i="16"/>
  <c r="K496" i="16"/>
  <c r="I510" i="16"/>
  <c r="O183" i="16"/>
  <c r="O179" i="16"/>
  <c r="N92" i="16"/>
  <c r="T94" i="16"/>
  <c r="T97" i="16"/>
  <c r="T91" i="16"/>
  <c r="S179" i="16"/>
  <c r="S183" i="16"/>
  <c r="X97" i="16"/>
  <c r="X91" i="16"/>
  <c r="X94" i="16"/>
  <c r="S94" i="16"/>
  <c r="S97" i="16"/>
  <c r="S91" i="16"/>
  <c r="AC499" i="16" l="1"/>
  <c r="AC503" i="16" s="1"/>
  <c r="AC510" i="16" s="1"/>
  <c r="I543" i="16"/>
  <c r="X179" i="16"/>
  <c r="V97" i="16"/>
  <c r="V100" i="16" s="1"/>
  <c r="V98" i="16" s="1"/>
  <c r="V179" i="16"/>
  <c r="AC95" i="16"/>
  <c r="O97" i="16"/>
  <c r="O100" i="16" s="1"/>
  <c r="O98" i="16" s="1"/>
  <c r="V94" i="16"/>
  <c r="V92" i="16" s="1"/>
  <c r="O91" i="16"/>
  <c r="T183" i="16"/>
  <c r="T186" i="16" s="1"/>
  <c r="T185" i="16" s="1"/>
  <c r="W179" i="16"/>
  <c r="N100" i="16"/>
  <c r="N98" i="16" s="1"/>
  <c r="N136" i="16" s="1"/>
  <c r="N151" i="16" s="1"/>
  <c r="BM91" i="16"/>
  <c r="AD500" i="16"/>
  <c r="AE95" i="16"/>
  <c r="AE136" i="16" s="1"/>
  <c r="AE151" i="16" s="1"/>
  <c r="AE191" i="16" s="1"/>
  <c r="AE494" i="16" s="1"/>
  <c r="BM94" i="16"/>
  <c r="Q179" i="16"/>
  <c r="Y183" i="16"/>
  <c r="Y182" i="16" s="1"/>
  <c r="AB94" i="16"/>
  <c r="AB92" i="16" s="1"/>
  <c r="BL82" i="16"/>
  <c r="BL91" i="16" s="1"/>
  <c r="P91" i="16"/>
  <c r="AA179" i="16"/>
  <c r="AB97" i="16"/>
  <c r="AB100" i="16" s="1"/>
  <c r="J180" i="16"/>
  <c r="K180" i="16" s="1"/>
  <c r="BK119" i="16"/>
  <c r="L180" i="16"/>
  <c r="BK180" i="16"/>
  <c r="Z97" i="16"/>
  <c r="Z95" i="16" s="1"/>
  <c r="P179" i="16"/>
  <c r="Z94" i="16"/>
  <c r="Z92" i="16" s="1"/>
  <c r="P183" i="16"/>
  <c r="P186" i="16" s="1"/>
  <c r="P185" i="16" s="1"/>
  <c r="BK82" i="16"/>
  <c r="BK91" i="16" s="1"/>
  <c r="L121" i="16"/>
  <c r="BK121" i="16"/>
  <c r="P97" i="16"/>
  <c r="P95" i="16" s="1"/>
  <c r="J121" i="16"/>
  <c r="K121" i="16" s="1"/>
  <c r="AC500" i="16"/>
  <c r="J152" i="16"/>
  <c r="K152" i="16" s="1"/>
  <c r="L152" i="16"/>
  <c r="Z183" i="16"/>
  <c r="Z182" i="16" s="1"/>
  <c r="Y94" i="16"/>
  <c r="U183" i="16"/>
  <c r="U182" i="16" s="1"/>
  <c r="J82" i="16"/>
  <c r="J91" i="16" s="1"/>
  <c r="BK152" i="16"/>
  <c r="Y97" i="16"/>
  <c r="Y100" i="16" s="1"/>
  <c r="Y98" i="16" s="1"/>
  <c r="U179" i="16"/>
  <c r="L82" i="16"/>
  <c r="L91" i="16" s="1"/>
  <c r="AE499" i="16"/>
  <c r="AE508" i="16" s="1"/>
  <c r="AE500" i="16"/>
  <c r="AD499" i="16"/>
  <c r="AD503" i="16" s="1"/>
  <c r="AD510" i="16" s="1"/>
  <c r="AD532" i="16" s="1"/>
  <c r="AD543" i="16" s="1"/>
  <c r="AD136" i="16"/>
  <c r="AD151" i="16" s="1"/>
  <c r="AD191" i="16" s="1"/>
  <c r="AD494" i="16" s="1"/>
  <c r="O92" i="16"/>
  <c r="T92" i="16"/>
  <c r="O182" i="16"/>
  <c r="O186" i="16"/>
  <c r="O185" i="16" s="1"/>
  <c r="BM92" i="16"/>
  <c r="N186" i="16"/>
  <c r="N182" i="16"/>
  <c r="BM100" i="16"/>
  <c r="AC98" i="16"/>
  <c r="AC498" i="16" s="1"/>
  <c r="T182" i="16"/>
  <c r="P92" i="16"/>
  <c r="X100" i="16"/>
  <c r="X98" i="16" s="1"/>
  <c r="X95" i="16"/>
  <c r="S100" i="16"/>
  <c r="S98" i="16" s="1"/>
  <c r="S95" i="16"/>
  <c r="X186" i="16"/>
  <c r="X185" i="16" s="1"/>
  <c r="X182" i="16"/>
  <c r="S182" i="16"/>
  <c r="S186" i="16"/>
  <c r="S185" i="16" s="1"/>
  <c r="Q92" i="16"/>
  <c r="U100" i="16"/>
  <c r="U98" i="16" s="1"/>
  <c r="U95" i="16"/>
  <c r="R92" i="16"/>
  <c r="U92" i="16"/>
  <c r="J119" i="16"/>
  <c r="K119" i="16" s="1"/>
  <c r="R100" i="16"/>
  <c r="R98" i="16" s="1"/>
  <c r="R95" i="16"/>
  <c r="W182" i="16"/>
  <c r="W186" i="16"/>
  <c r="W185" i="16" s="1"/>
  <c r="AA100" i="16"/>
  <c r="AA98" i="16" s="1"/>
  <c r="AA95" i="16"/>
  <c r="L119" i="16"/>
  <c r="X92" i="16"/>
  <c r="S92" i="16"/>
  <c r="J511" i="16"/>
  <c r="L511" i="16" s="1"/>
  <c r="Q100" i="16"/>
  <c r="Q98" i="16" s="1"/>
  <c r="Q95" i="16"/>
  <c r="AA186" i="16"/>
  <c r="AA185" i="16" s="1"/>
  <c r="AA182" i="16"/>
  <c r="T100" i="16"/>
  <c r="T98" i="16" s="1"/>
  <c r="T95" i="16"/>
  <c r="AA92" i="16"/>
  <c r="W100" i="16"/>
  <c r="W98" i="16" s="1"/>
  <c r="W95" i="16"/>
  <c r="R182" i="16"/>
  <c r="R186" i="16"/>
  <c r="R185" i="16" s="1"/>
  <c r="W92" i="16"/>
  <c r="Q186" i="16"/>
  <c r="Q185" i="16" s="1"/>
  <c r="Q182" i="16"/>
  <c r="AD498" i="16"/>
  <c r="V186" i="16"/>
  <c r="V185" i="16" s="1"/>
  <c r="V182" i="16"/>
  <c r="AC508" i="16" l="1"/>
  <c r="AE498" i="16"/>
  <c r="BM498" i="16" s="1"/>
  <c r="V95" i="16"/>
  <c r="BL97" i="16"/>
  <c r="O95" i="16"/>
  <c r="BM95" i="16"/>
  <c r="BL94" i="16"/>
  <c r="BK179" i="16"/>
  <c r="J179" i="16"/>
  <c r="K179" i="16" s="1"/>
  <c r="BK94" i="16"/>
  <c r="Y186" i="16"/>
  <c r="Y185" i="16" s="1"/>
  <c r="J94" i="16"/>
  <c r="K94" i="16" s="1"/>
  <c r="AB499" i="16"/>
  <c r="BL499" i="16" s="1"/>
  <c r="BL503" i="16" s="1"/>
  <c r="BL510" i="16" s="1"/>
  <c r="BL532" i="16" s="1"/>
  <c r="Y92" i="16"/>
  <c r="J92" i="16" s="1"/>
  <c r="K92" i="16" s="1"/>
  <c r="K82" i="16"/>
  <c r="K91" i="16" s="1"/>
  <c r="L94" i="16"/>
  <c r="P182" i="16"/>
  <c r="L182" i="16" s="1"/>
  <c r="Z100" i="16"/>
  <c r="Z98" i="16" s="1"/>
  <c r="Z136" i="16" s="1"/>
  <c r="Z151" i="16" s="1"/>
  <c r="L183" i="16"/>
  <c r="AB95" i="16"/>
  <c r="BL95" i="16" s="1"/>
  <c r="L179" i="16"/>
  <c r="Z186" i="16"/>
  <c r="Z185" i="16" s="1"/>
  <c r="AB500" i="16"/>
  <c r="BL500" i="16" s="1"/>
  <c r="J97" i="16"/>
  <c r="K97" i="16" s="1"/>
  <c r="P100" i="16"/>
  <c r="P98" i="16" s="1"/>
  <c r="BK98" i="16" s="1"/>
  <c r="BK97" i="16"/>
  <c r="L97" i="16"/>
  <c r="BK183" i="16"/>
  <c r="U186" i="16"/>
  <c r="U185" i="16" s="1"/>
  <c r="J183" i="16"/>
  <c r="K183" i="16" s="1"/>
  <c r="Y95" i="16"/>
  <c r="BM500" i="16"/>
  <c r="X499" i="16"/>
  <c r="X503" i="16" s="1"/>
  <c r="X510" i="16" s="1"/>
  <c r="AE503" i="16"/>
  <c r="AE510" i="16" s="1"/>
  <c r="AE532" i="16" s="1"/>
  <c r="AE543" i="16" s="1"/>
  <c r="R136" i="16"/>
  <c r="R151" i="16" s="1"/>
  <c r="R191" i="16" s="1"/>
  <c r="R494" i="16" s="1"/>
  <c r="X136" i="16"/>
  <c r="X151" i="16" s="1"/>
  <c r="X191" i="16" s="1"/>
  <c r="X494" i="16" s="1"/>
  <c r="X500" i="16"/>
  <c r="V136" i="16"/>
  <c r="V151" i="16" s="1"/>
  <c r="V191" i="16" s="1"/>
  <c r="V494" i="16" s="1"/>
  <c r="W499" i="16"/>
  <c r="W508" i="16" s="1"/>
  <c r="W516" i="16" s="1"/>
  <c r="I516" i="16" s="1"/>
  <c r="T136" i="16"/>
  <c r="T151" i="16" s="1"/>
  <c r="T191" i="16" s="1"/>
  <c r="T494" i="16" s="1"/>
  <c r="S499" i="16"/>
  <c r="S503" i="16" s="1"/>
  <c r="S510" i="16" s="1"/>
  <c r="S532" i="16" s="1"/>
  <c r="S543" i="16" s="1"/>
  <c r="S500" i="16"/>
  <c r="S498" i="16"/>
  <c r="AA500" i="16"/>
  <c r="BM499" i="16"/>
  <c r="BM503" i="16" s="1"/>
  <c r="AD508" i="16"/>
  <c r="X498" i="16"/>
  <c r="R499" i="16"/>
  <c r="R508" i="16" s="1"/>
  <c r="V499" i="16"/>
  <c r="V508" i="16" s="1"/>
  <c r="V500" i="16"/>
  <c r="AA136" i="16"/>
  <c r="AA151" i="16" s="1"/>
  <c r="AA191" i="16" s="1"/>
  <c r="AA494" i="16" s="1"/>
  <c r="BL92" i="16"/>
  <c r="S136" i="16"/>
  <c r="S151" i="16" s="1"/>
  <c r="S191" i="16" s="1"/>
  <c r="S494" i="16" s="1"/>
  <c r="W498" i="16"/>
  <c r="W136" i="16"/>
  <c r="W151" i="16" s="1"/>
  <c r="W191" i="16" s="1"/>
  <c r="W494" i="16" s="1"/>
  <c r="AA499" i="16"/>
  <c r="V498" i="16"/>
  <c r="T498" i="16"/>
  <c r="T499" i="16"/>
  <c r="R498" i="16"/>
  <c r="Q499" i="16"/>
  <c r="T500" i="16"/>
  <c r="Q498" i="16"/>
  <c r="Q136" i="16"/>
  <c r="Q151" i="16" s="1"/>
  <c r="Q191" i="16" s="1"/>
  <c r="Q494" i="16" s="1"/>
  <c r="R500" i="16"/>
  <c r="Q500" i="16"/>
  <c r="BM98" i="16"/>
  <c r="BM136" i="16" s="1"/>
  <c r="AC136" i="16"/>
  <c r="AC151" i="16" s="1"/>
  <c r="N185" i="16"/>
  <c r="N500" i="16"/>
  <c r="N499" i="16"/>
  <c r="O500" i="16"/>
  <c r="O499" i="16"/>
  <c r="W500" i="16"/>
  <c r="AA498" i="16"/>
  <c r="N498" i="16"/>
  <c r="U136" i="16"/>
  <c r="U151" i="16" s="1"/>
  <c r="BL100" i="16"/>
  <c r="AB98" i="16"/>
  <c r="AB498" i="16" s="1"/>
  <c r="BL498" i="16" s="1"/>
  <c r="L95" i="16" l="1"/>
  <c r="J182" i="16"/>
  <c r="K182" i="16" s="1"/>
  <c r="BK182" i="16"/>
  <c r="Z500" i="16"/>
  <c r="Z499" i="16"/>
  <c r="Z503" i="16" s="1"/>
  <c r="Z510" i="16" s="1"/>
  <c r="Z532" i="16" s="1"/>
  <c r="Z543" i="16" s="1"/>
  <c r="Z498" i="16"/>
  <c r="L92" i="16"/>
  <c r="P136" i="16"/>
  <c r="P151" i="16" s="1"/>
  <c r="P191" i="16" s="1"/>
  <c r="P494" i="16" s="1"/>
  <c r="P498" i="16"/>
  <c r="P500" i="16"/>
  <c r="BK100" i="16"/>
  <c r="J95" i="16"/>
  <c r="K95" i="16" s="1"/>
  <c r="J100" i="16"/>
  <c r="K100" i="16" s="1"/>
  <c r="O498" i="16"/>
  <c r="U500" i="16"/>
  <c r="O136" i="16"/>
  <c r="O151" i="16" s="1"/>
  <c r="O191" i="16" s="1"/>
  <c r="BK95" i="16"/>
  <c r="Y136" i="16"/>
  <c r="Y151" i="16" s="1"/>
  <c r="Y191" i="16" s="1"/>
  <c r="Y494" i="16" s="1"/>
  <c r="BK92" i="16"/>
  <c r="L100" i="16"/>
  <c r="P499" i="16"/>
  <c r="P508" i="16" s="1"/>
  <c r="Y500" i="16"/>
  <c r="Y499" i="16"/>
  <c r="Y508" i="16" s="1"/>
  <c r="Y518" i="16" s="1"/>
  <c r="I518" i="16" s="1"/>
  <c r="Y498" i="16"/>
  <c r="J186" i="16"/>
  <c r="K186" i="16" s="1"/>
  <c r="U498" i="16"/>
  <c r="AB503" i="16"/>
  <c r="AB510" i="16" s="1"/>
  <c r="AB532" i="16" s="1"/>
  <c r="AB543" i="16" s="1"/>
  <c r="AB508" i="16"/>
  <c r="BL508" i="16" s="1"/>
  <c r="L186" i="16"/>
  <c r="BK186" i="16"/>
  <c r="U499" i="16"/>
  <c r="U503" i="16" s="1"/>
  <c r="U510" i="16" s="1"/>
  <c r="U191" i="16"/>
  <c r="U494" i="16" s="1"/>
  <c r="Z191" i="16"/>
  <c r="Z494" i="16" s="1"/>
  <c r="X508" i="16"/>
  <c r="X517" i="16" s="1"/>
  <c r="I517" i="16" s="1"/>
  <c r="AC512" i="16"/>
  <c r="AC532" i="16" s="1"/>
  <c r="AC543" i="16" s="1"/>
  <c r="W503" i="16"/>
  <c r="W510" i="16" s="1"/>
  <c r="W512" i="16"/>
  <c r="S508" i="16"/>
  <c r="R503" i="16"/>
  <c r="R510" i="16" s="1"/>
  <c r="R532" i="16" s="1"/>
  <c r="R543" i="16" s="1"/>
  <c r="J500" i="16"/>
  <c r="K500" i="16" s="1"/>
  <c r="V503" i="16"/>
  <c r="V510" i="16" s="1"/>
  <c r="V532" i="16" s="1"/>
  <c r="V543" i="16" s="1"/>
  <c r="L185" i="16"/>
  <c r="BK185" i="16"/>
  <c r="J185" i="16"/>
  <c r="K185" i="16" s="1"/>
  <c r="L98" i="16"/>
  <c r="T503" i="16"/>
  <c r="T510" i="16" s="1"/>
  <c r="T532" i="16" s="1"/>
  <c r="T543" i="16" s="1"/>
  <c r="T508" i="16"/>
  <c r="AC191" i="16"/>
  <c r="AC494" i="16" s="1"/>
  <c r="BM151" i="16"/>
  <c r="BM191" i="16" s="1"/>
  <c r="AA503" i="16"/>
  <c r="AA510" i="16" s="1"/>
  <c r="AA532" i="16" s="1"/>
  <c r="AA543" i="16" s="1"/>
  <c r="AA508" i="16"/>
  <c r="N508" i="16"/>
  <c r="N514" i="16" s="1"/>
  <c r="N503" i="16"/>
  <c r="N510" i="16" s="1"/>
  <c r="N191" i="16"/>
  <c r="N494" i="16" s="1"/>
  <c r="BL98" i="16"/>
  <c r="BL136" i="16" s="1"/>
  <c r="AB136" i="16"/>
  <c r="AB151" i="16" s="1"/>
  <c r="Q508" i="16"/>
  <c r="Q503" i="16"/>
  <c r="Q510" i="16" s="1"/>
  <c r="Q532" i="16" s="1"/>
  <c r="Q543" i="16" s="1"/>
  <c r="O503" i="16"/>
  <c r="O508" i="16"/>
  <c r="J98" i="16"/>
  <c r="L500" i="16" l="1"/>
  <c r="Z508" i="16"/>
  <c r="BK151" i="16"/>
  <c r="BK191" i="16" s="1"/>
  <c r="L499" i="16"/>
  <c r="L503" i="16" s="1"/>
  <c r="X512" i="16"/>
  <c r="X532" i="16" s="1"/>
  <c r="X543" i="16" s="1"/>
  <c r="L518" i="16"/>
  <c r="L136" i="16"/>
  <c r="L151" i="16" s="1"/>
  <c r="L191" i="16" s="1"/>
  <c r="J499" i="16"/>
  <c r="J503" i="16" s="1"/>
  <c r="K503" i="16" s="1"/>
  <c r="BK500" i="16"/>
  <c r="BK136" i="16"/>
  <c r="P503" i="16"/>
  <c r="P510" i="16" s="1"/>
  <c r="P532" i="16" s="1"/>
  <c r="P543" i="16" s="1"/>
  <c r="Y503" i="16"/>
  <c r="Y510" i="16" s="1"/>
  <c r="BK498" i="16"/>
  <c r="Y512" i="16"/>
  <c r="U508" i="16"/>
  <c r="U515" i="16" s="1"/>
  <c r="I515" i="16" s="1"/>
  <c r="BK499" i="16"/>
  <c r="BK503" i="16" s="1"/>
  <c r="L517" i="16"/>
  <c r="L498" i="16"/>
  <c r="W532" i="16"/>
  <c r="W543" i="16" s="1"/>
  <c r="O514" i="16"/>
  <c r="O512" i="16" s="1"/>
  <c r="N512" i="16"/>
  <c r="N532" i="16" s="1"/>
  <c r="N543" i="16" s="1"/>
  <c r="BL151" i="16"/>
  <c r="BL191" i="16" s="1"/>
  <c r="BL494" i="16" s="1"/>
  <c r="AB191" i="16"/>
  <c r="AB494" i="16" s="1"/>
  <c r="N496" i="16"/>
  <c r="K98" i="16"/>
  <c r="K136" i="16" s="1"/>
  <c r="K151" i="16" s="1"/>
  <c r="K191" i="16" s="1"/>
  <c r="J136" i="16"/>
  <c r="J151" i="16" s="1"/>
  <c r="J191" i="16" s="1"/>
  <c r="J498" i="16"/>
  <c r="K498" i="16" s="1"/>
  <c r="BK209" i="16"/>
  <c r="J208" i="16"/>
  <c r="K208" i="16" s="1"/>
  <c r="BK208" i="16"/>
  <c r="O504" i="16"/>
  <c r="BK504" i="16" s="1"/>
  <c r="J209" i="16"/>
  <c r="J506" i="16" s="1"/>
  <c r="O506" i="16"/>
  <c r="O509" i="16" s="1"/>
  <c r="BK509" i="16" s="1"/>
  <c r="L209" i="16"/>
  <c r="L506" i="16"/>
  <c r="I514" i="16" l="1"/>
  <c r="I512" i="16" s="1"/>
  <c r="U512" i="16"/>
  <c r="U532" i="16" s="1"/>
  <c r="U543" i="16" s="1"/>
  <c r="K499" i="16"/>
  <c r="Y532" i="16"/>
  <c r="Y543" i="16" s="1"/>
  <c r="L515" i="16"/>
  <c r="BK508" i="16"/>
  <c r="L514" i="16"/>
  <c r="J509" i="16"/>
  <c r="L509" i="16"/>
  <c r="O507" i="16"/>
  <c r="O510" i="16" s="1"/>
  <c r="O532" i="16" s="1"/>
  <c r="O543" i="16" s="1"/>
  <c r="O493" i="16"/>
  <c r="O494" i="16" s="1"/>
  <c r="K209" i="16"/>
  <c r="K506" i="16" s="1"/>
  <c r="BK506" i="16"/>
  <c r="K509" i="16" l="1"/>
  <c r="J532" i="16"/>
  <c r="BK493" i="16"/>
  <c r="BK494" i="16" s="1"/>
  <c r="BK507" i="16"/>
  <c r="BK510" i="16" s="1"/>
  <c r="BK532" i="16" s="1"/>
  <c r="BM367" i="16"/>
  <c r="L367" i="16"/>
  <c r="L505" i="16"/>
  <c r="L508" i="16" s="1"/>
  <c r="AF504" i="16"/>
  <c r="BM504" i="16" s="1"/>
  <c r="AF505" i="16"/>
  <c r="AF507" i="16" s="1"/>
  <c r="AF510" i="16" s="1"/>
  <c r="AF532" i="16" s="1"/>
  <c r="AF363" i="16"/>
  <c r="L363" i="16" s="1"/>
  <c r="L504" i="16" s="1"/>
  <c r="J367" i="16"/>
  <c r="K367" i="16" s="1"/>
  <c r="K505" i="16" s="1"/>
  <c r="K493" i="16" s="1"/>
  <c r="K494" i="16" s="1"/>
  <c r="L532" i="16" l="1"/>
  <c r="AF543" i="16"/>
  <c r="J505" i="16"/>
  <c r="J507" i="16" s="1"/>
  <c r="J510" i="16" s="1"/>
  <c r="J363" i="16"/>
  <c r="AF493" i="16"/>
  <c r="BM505" i="16"/>
  <c r="BM507" i="16" s="1"/>
  <c r="BM510" i="16" s="1"/>
  <c r="BM532" i="16" s="1"/>
  <c r="L507" i="16"/>
  <c r="L510" i="16" s="1"/>
  <c r="L493" i="16"/>
  <c r="L494" i="16" s="1"/>
  <c r="AF508" i="16"/>
  <c r="BM508" i="16" s="1"/>
  <c r="BM363" i="16"/>
  <c r="K507" i="16"/>
  <c r="K510" i="16" s="1"/>
  <c r="K508" i="16"/>
  <c r="J493" i="16" l="1"/>
  <c r="J494" i="16" s="1"/>
  <c r="J508" i="16"/>
  <c r="K363" i="16"/>
  <c r="K504" i="16" s="1"/>
  <c r="J504" i="16"/>
  <c r="AF494" i="16"/>
  <c r="BM493" i="16"/>
  <c r="BM494" i="16" s="1"/>
  <c r="I532" i="16"/>
  <c r="K532" i="16" s="1"/>
  <c r="J538" i="16" l="1"/>
</calcChain>
</file>

<file path=xl/comments1.xml><?xml version="1.0" encoding="utf-8"?>
<comments xmlns="http://schemas.openxmlformats.org/spreadsheetml/2006/main">
  <authors>
    <author>Erdei Zsuzsa</author>
    <author>Padosné Nagy Tímea</author>
  </authors>
  <commentList>
    <comment ref="I180" authorId="0" shapeId="0">
      <text>
        <r>
          <rPr>
            <b/>
            <sz val="9"/>
            <color indexed="81"/>
            <rFont val="Tahoma"/>
            <family val="2"/>
            <charset val="238"/>
          </rPr>
          <t>Erdei Zsuzsa:</t>
        </r>
        <r>
          <rPr>
            <sz val="9"/>
            <color indexed="81"/>
            <rFont val="Tahoma"/>
            <family val="2"/>
            <charset val="238"/>
          </rPr>
          <t xml:space="preserve">
=HAHIBA(FKERES($A180;'Bevétel 2a SZH 2023'!$B:$L;HOL.VAN($I$1;'Bevétel 2a SZH 2023'!$B$1:$L$1;0);0); )</t>
        </r>
      </text>
    </comment>
    <comment ref="S258" authorId="1" shapeId="0">
      <text>
        <r>
          <rPr>
            <b/>
            <sz val="9"/>
            <color indexed="81"/>
            <rFont val="Tahoma"/>
            <family val="2"/>
            <charset val="238"/>
          </rPr>
          <t>Padosné Nagy Tímea:</t>
        </r>
        <r>
          <rPr>
            <sz val="9"/>
            <color indexed="81"/>
            <rFont val="Tahoma"/>
            <family val="2"/>
            <charset val="238"/>
          </rPr>
          <t xml:space="preserve">
5.065.922
</t>
        </r>
      </text>
    </comment>
    <comment ref="U258" authorId="1" shapeId="0">
      <text>
        <r>
          <rPr>
            <b/>
            <sz val="9"/>
            <color indexed="81"/>
            <rFont val="Tahoma"/>
            <family val="2"/>
            <charset val="238"/>
          </rPr>
          <t>Padosné Nagy Tímea:</t>
        </r>
        <r>
          <rPr>
            <sz val="9"/>
            <color indexed="81"/>
            <rFont val="Tahoma"/>
            <family val="2"/>
            <charset val="238"/>
          </rPr>
          <t xml:space="preserve">
4.255.907
</t>
        </r>
      </text>
    </comment>
    <comment ref="V258" authorId="1" shapeId="0">
      <text>
        <r>
          <rPr>
            <b/>
            <sz val="9"/>
            <color indexed="81"/>
            <rFont val="Tahoma"/>
            <family val="2"/>
            <charset val="238"/>
          </rPr>
          <t>Padosné Nagy Tímea:</t>
        </r>
        <r>
          <rPr>
            <sz val="9"/>
            <color indexed="81"/>
            <rFont val="Tahoma"/>
            <family val="2"/>
            <charset val="238"/>
          </rPr>
          <t xml:space="preserve">
5.715.954
</t>
        </r>
      </text>
    </comment>
    <comment ref="Y258" authorId="1" shapeId="0">
      <text>
        <r>
          <rPr>
            <b/>
            <sz val="9"/>
            <color indexed="81"/>
            <rFont val="Tahoma"/>
            <family val="2"/>
            <charset val="238"/>
          </rPr>
          <t>Padosné Nagy Tímea:</t>
        </r>
        <r>
          <rPr>
            <sz val="9"/>
            <color indexed="81"/>
            <rFont val="Tahoma"/>
            <family val="2"/>
            <charset val="238"/>
          </rPr>
          <t xml:space="preserve">
5.678.453</t>
        </r>
      </text>
    </comment>
    <comment ref="AC258" authorId="1" shapeId="0">
      <text>
        <r>
          <rPr>
            <b/>
            <sz val="9"/>
            <color indexed="81"/>
            <rFont val="Tahoma"/>
            <family val="2"/>
            <charset val="238"/>
          </rPr>
          <t>Padosné Nagy Tímea:</t>
        </r>
        <r>
          <rPr>
            <sz val="9"/>
            <color indexed="81"/>
            <rFont val="Tahoma"/>
            <family val="2"/>
            <charset val="238"/>
          </rPr>
          <t xml:space="preserve">
1.193.788</t>
        </r>
      </text>
    </comment>
  </commentList>
</comments>
</file>

<file path=xl/comments2.xml><?xml version="1.0" encoding="utf-8"?>
<comments xmlns="http://schemas.openxmlformats.org/spreadsheetml/2006/main">
  <authors>
    <author>Gyüge Péter</author>
  </authors>
  <commentList>
    <comment ref="D35" authorId="0" shapeId="0">
      <text>
        <r>
          <rPr>
            <b/>
            <sz val="9"/>
            <color indexed="81"/>
            <rFont val="Tahoma"/>
            <family val="2"/>
            <charset val="238"/>
          </rPr>
          <t>Gyüge Péter:</t>
        </r>
        <r>
          <rPr>
            <sz val="9"/>
            <color indexed="81"/>
            <rFont val="Tahoma"/>
            <family val="2"/>
            <charset val="238"/>
          </rPr>
          <t xml:space="preserve">
10% ákth
</t>
        </r>
      </text>
    </comment>
    <comment ref="K35" authorId="0" shapeId="0">
      <text>
        <r>
          <rPr>
            <b/>
            <sz val="9"/>
            <color indexed="81"/>
            <rFont val="Tahoma"/>
            <family val="2"/>
            <charset val="238"/>
          </rPr>
          <t>Gyüge Péter:</t>
        </r>
        <r>
          <rPr>
            <sz val="9"/>
            <color indexed="81"/>
            <rFont val="Tahoma"/>
            <family val="2"/>
            <charset val="238"/>
          </rPr>
          <t xml:space="preserve">
50 % ÁKTH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<sst xmlns="http://schemas.openxmlformats.org/spreadsheetml/2006/main" count="11496" uniqueCount="4072">
  <si>
    <t>Közterületesítés elszámolás</t>
  </si>
  <si>
    <t>PALYREZSI elszámolás</t>
  </si>
  <si>
    <t>Maradvány</t>
  </si>
  <si>
    <t>Szervezeti egység</t>
  </si>
  <si>
    <t>ÁJTK</t>
  </si>
  <si>
    <t>BTK</t>
  </si>
  <si>
    <t>PPK</t>
  </si>
  <si>
    <t>TÁTK</t>
  </si>
  <si>
    <t>TTK</t>
  </si>
  <si>
    <t>IK</t>
  </si>
  <si>
    <t>BGGYK</t>
  </si>
  <si>
    <t>TÓK</t>
  </si>
  <si>
    <t>GTI</t>
  </si>
  <si>
    <t>ELTE Tanárképző Központ</t>
  </si>
  <si>
    <t>Szombathelyi általános kiadások (könyvtár, GH, TH, pályázat, Campus Iroda, Kancellária egyéb, általános hasznosítás, informatika)</t>
  </si>
  <si>
    <t>Szombathely összesen</t>
  </si>
  <si>
    <t>Támogatás allokáció célszervezetre átoktatás után (2019. évi felosztási logika)</t>
  </si>
  <si>
    <t>Támogatás allokáció célszervezetre (2019. évi felosztási logika)</t>
  </si>
  <si>
    <t>Képzési saját bevételek célszervezetre átoktatás után</t>
  </si>
  <si>
    <t>Képzési saját bevételek célszervezetre</t>
  </si>
  <si>
    <t>Egyéb saját bevételek</t>
  </si>
  <si>
    <t>Egyéb saját bevételek (ideértve a hasznosítási bevételek épület-használat arányosan felosztott összegét)</t>
  </si>
  <si>
    <t>Egyéb finanszírozású költségvetési bevétel allokáció célszervezetre</t>
  </si>
  <si>
    <t>Oktatói béremelés fedezete (2018. évi arányban)</t>
  </si>
  <si>
    <t>ÁKTH alá tartozó speciális feladatok</t>
  </si>
  <si>
    <t>ÁKTH alapja</t>
  </si>
  <si>
    <t>Kari kiválósági -1,5 %</t>
  </si>
  <si>
    <t>Karnál kiválósági visszahagyás +1,5 %</t>
  </si>
  <si>
    <t>OTAK-RTAK elméleti kredit (garantált)</t>
  </si>
  <si>
    <t>OTAK-RTAK gyakorlati kredit (80%)</t>
  </si>
  <si>
    <t>Szocho elvonás</t>
  </si>
  <si>
    <t>Nemzeköziesítésre elvonás</t>
  </si>
  <si>
    <t>Bevételi egyenleg I. (itt lévő előirányzatok)</t>
  </si>
  <si>
    <t>Bevétel egyenleg II. (Bevétel egyenleg I. + maradvány és korrekciói</t>
  </si>
  <si>
    <t>Kari kiválósági elvonás még nem ittlévő bevételekből -1,5 %</t>
  </si>
  <si>
    <t>Bevétel egyenleg III. (Bevétel egyenleg II. + nem ittlévő bevételek)</t>
  </si>
  <si>
    <t>Kiadások összesen</t>
  </si>
  <si>
    <t>Egyéb ÁKTH (köznevelés 6%-a)</t>
  </si>
  <si>
    <t>Adatok Ft-ban</t>
  </si>
  <si>
    <t>1.</t>
  </si>
  <si>
    <t>2.</t>
  </si>
  <si>
    <t>3.</t>
  </si>
  <si>
    <t>4.</t>
  </si>
  <si>
    <t>5.</t>
  </si>
  <si>
    <t>6.</t>
  </si>
  <si>
    <t>7.</t>
  </si>
  <si>
    <t>8.</t>
  </si>
  <si>
    <t>10.</t>
  </si>
  <si>
    <t>11.</t>
  </si>
  <si>
    <t>12.</t>
  </si>
  <si>
    <t>13.</t>
  </si>
  <si>
    <t>14.</t>
  </si>
  <si>
    <t>15.</t>
  </si>
  <si>
    <t>Lektori finanszírozás megszüntetése miatti kiadás növekmény (2020 év bázisán)</t>
  </si>
  <si>
    <t>Kiadások célfeladatokra (átfutó)</t>
  </si>
  <si>
    <t>PPP finanszírozás csökkenés kiegészítése</t>
  </si>
  <si>
    <t>Kiválósági ösztöndíjhoz hozzájárulás (-6,1mFt maradvány, 2020/21 II. és 2021/22 I. félév tanév becsült adatai alapján</t>
  </si>
  <si>
    <t>SPRSZKK</t>
  </si>
  <si>
    <t>Kari tanács</t>
  </si>
  <si>
    <t>Űrlapsorszám</t>
  </si>
  <si>
    <t>Munkaszám</t>
  </si>
  <si>
    <t>Funkcióterület</t>
  </si>
  <si>
    <t>Kiadás/ Bevétel</t>
  </si>
  <si>
    <t>B</t>
  </si>
  <si>
    <t>K</t>
  </si>
  <si>
    <t>MB</t>
  </si>
  <si>
    <t>MK</t>
  </si>
  <si>
    <t>Eltérés</t>
  </si>
  <si>
    <t>Felosztás</t>
  </si>
  <si>
    <t>A111DHAJK</t>
  </si>
  <si>
    <t>A151THAJK</t>
  </si>
  <si>
    <t>A111KKAJK</t>
  </si>
  <si>
    <t>A151GHAJK</t>
  </si>
  <si>
    <t>Kari kiválósági munkaszám</t>
  </si>
  <si>
    <t>A0080</t>
  </si>
  <si>
    <t>Agrárjogi Tanszék</t>
  </si>
  <si>
    <t>Alkotmányjogi Tanszék</t>
  </si>
  <si>
    <t>Büntető Eljárásjogi és Büntetés-végrehajtási Jogi Tanszék</t>
  </si>
  <si>
    <t>Jog- és Társadalomelméleti Tanszék</t>
  </si>
  <si>
    <t>Közigazgatási Jogi Tanszék</t>
  </si>
  <si>
    <t>Magyar Állam- és Jogtörténeti Tanszék</t>
  </si>
  <si>
    <t>Nemzetközi Jogi Tanszék</t>
  </si>
  <si>
    <t>Pénzügyi Jogi Tanszék</t>
  </si>
  <si>
    <t>Polgári Jogi Tanszék</t>
  </si>
  <si>
    <t>Római Jogi és Összehasonlító Jogtörténeti Tanszék</t>
  </si>
  <si>
    <t>Jogi Továbbképző Intézet</t>
  </si>
  <si>
    <t>Dékáni Hivatal</t>
  </si>
  <si>
    <t>Tanulmányi Hivatal</t>
  </si>
  <si>
    <t>Gazdasági Hivatal</t>
  </si>
  <si>
    <t>Kari informatika</t>
  </si>
  <si>
    <t>A0000</t>
  </si>
  <si>
    <t>A11101/16</t>
  </si>
  <si>
    <t>Oktatók, kutatók, tanárok garantált illetménye növelésének fedezete (2016-2018. év) NAGY TÁBLA SZERINT</t>
  </si>
  <si>
    <t>AKTHSZHELY</t>
  </si>
  <si>
    <t>K07002/17</t>
  </si>
  <si>
    <t>R10601/18</t>
  </si>
  <si>
    <t>Nemzetköziesítéshez átadás</t>
  </si>
  <si>
    <t>K06301/20</t>
  </si>
  <si>
    <t>K06301/19</t>
  </si>
  <si>
    <t>Közterületesítés különbözet</t>
  </si>
  <si>
    <t>KK9701/16</t>
  </si>
  <si>
    <t>KK9702/16</t>
  </si>
  <si>
    <t>Belföldi folyóirat</t>
  </si>
  <si>
    <t>Külföldi folyóirat</t>
  </si>
  <si>
    <t>R13101/16</t>
  </si>
  <si>
    <t>R13201/16</t>
  </si>
  <si>
    <t>Bp. tanárképzés működés</t>
  </si>
  <si>
    <t>Bp. tanárképzés gyakorlat</t>
  </si>
  <si>
    <t>ANYKRIVIZS</t>
  </si>
  <si>
    <t>Anyanyelvi kritériumvizsga</t>
  </si>
  <si>
    <t>T20102/18</t>
  </si>
  <si>
    <t>Szhely. tanárképzés gyakorlat</t>
  </si>
  <si>
    <t>SB Üzemeltetési feladatok</t>
  </si>
  <si>
    <t>T Üzemeltetési feladatok</t>
  </si>
  <si>
    <t>(üres)</t>
  </si>
  <si>
    <t>K Összeg</t>
  </si>
  <si>
    <t>B Összeg</t>
  </si>
  <si>
    <t>Űrlapsor neve</t>
  </si>
  <si>
    <t>Vállalat</t>
  </si>
  <si>
    <t>Év</t>
  </si>
  <si>
    <t>Sorszám</t>
  </si>
  <si>
    <t>Név</t>
  </si>
  <si>
    <t>Típus</t>
  </si>
  <si>
    <t>Jogcím</t>
  </si>
  <si>
    <t>Összegzés</t>
  </si>
  <si>
    <t>Saját</t>
  </si>
  <si>
    <t>Támogatás</t>
  </si>
  <si>
    <t>Ellenőrzés</t>
  </si>
  <si>
    <t>Alap</t>
  </si>
  <si>
    <t>Szorzó</t>
  </si>
  <si>
    <t>Sor</t>
  </si>
  <si>
    <t>0500</t>
  </si>
  <si>
    <t>Oktatók létszáma /fő</t>
  </si>
  <si>
    <t>L</t>
  </si>
  <si>
    <t/>
  </si>
  <si>
    <t>Y</t>
  </si>
  <si>
    <t>Kutatók létszáma /fő</t>
  </si>
  <si>
    <t>Működést támogató közalkalmazottak létszáma /fő</t>
  </si>
  <si>
    <t>Hallgatói munkaszerződéssel rendelkezők létszáma /fő</t>
  </si>
  <si>
    <t>Üres álláshely telj. munkaidős (OKT+KUT+EGYÉB+HALLG)</t>
  </si>
  <si>
    <t>TELJES MUNKAIDŐSÖK LÉTSZÁMA</t>
  </si>
  <si>
    <t>1+2+3+4+5</t>
  </si>
  <si>
    <t>Oktatók létszáma (teljes munkaidősre átszámítva)</t>
  </si>
  <si>
    <t>Kutatók létszáma (teljes munkaidősre átszámítva)</t>
  </si>
  <si>
    <t>Működést támogató közalkal. létszáma (teljes munkaidősre átszámítva)</t>
  </si>
  <si>
    <t>Hallgatói m.szerződéssel rend. létszáma (t.m.időre átsz.)</t>
  </si>
  <si>
    <t>Üres álláshely  részmunkaidős (OKT+KUT+EGYÉB+HALLG)</t>
  </si>
  <si>
    <t>RÉSZMUNKAIDŐSÖK LÉTSZÁMA</t>
  </si>
  <si>
    <t>7+8+9+10+11</t>
  </si>
  <si>
    <t>LÉTSZÁM ÖSSZESEN</t>
  </si>
  <si>
    <t>6+12</t>
  </si>
  <si>
    <t>Oktatók alapilletményei</t>
  </si>
  <si>
    <t>R511013111</t>
  </si>
  <si>
    <t>Kutatók alapilletményei</t>
  </si>
  <si>
    <t>Működést támogató közalkalmazottak alapilletményei</t>
  </si>
  <si>
    <t>ALAPILLETMÉNY ÖSSZESEN</t>
  </si>
  <si>
    <t>14+15+16</t>
  </si>
  <si>
    <t>Illetménykiegészítés</t>
  </si>
  <si>
    <t>R511013112</t>
  </si>
  <si>
    <t>Nyelvpótlék</t>
  </si>
  <si>
    <t>R511013113</t>
  </si>
  <si>
    <t>Egyéb kötelező illetménypótlékok</t>
  </si>
  <si>
    <t>R511013114</t>
  </si>
  <si>
    <t>Egyéb feltételtől függő pótlékok és juttatások</t>
  </si>
  <si>
    <t>R511013115</t>
  </si>
  <si>
    <t>Rendszeres keresetkiegészítés</t>
  </si>
  <si>
    <t>R511013118</t>
  </si>
  <si>
    <t>Eseti keresetkiegészítés</t>
  </si>
  <si>
    <t>R511013121</t>
  </si>
  <si>
    <t>Egyéb juttatások kiadásai</t>
  </si>
  <si>
    <t>R511013124</t>
  </si>
  <si>
    <t>Hallgatói munkadíjak</t>
  </si>
  <si>
    <t>R511013180</t>
  </si>
  <si>
    <t>Üres álláshelyekre tervezett illetmény (okt+kut+egyéb+hallg)</t>
  </si>
  <si>
    <t>Üres</t>
  </si>
  <si>
    <t>TÖRVÉNY SZERINTI ILLETMÉNYEK</t>
  </si>
  <si>
    <t>17+18+19+20+21+22+23+24+25+26+27+28</t>
  </si>
  <si>
    <t>Céljuttatás, projektprémium</t>
  </si>
  <si>
    <t>R511033200</t>
  </si>
  <si>
    <t>Készenlét. ügyelet. helyettesítési díj, túlóra</t>
  </si>
  <si>
    <t>R511043210</t>
  </si>
  <si>
    <t>Végkielégítés</t>
  </si>
  <si>
    <t>R511053000</t>
  </si>
  <si>
    <t>Jubileumi jutalom</t>
  </si>
  <si>
    <t>R511063000</t>
  </si>
  <si>
    <t>Iskolarendsz.képzés hozzájár.</t>
  </si>
  <si>
    <t>R511073102</t>
  </si>
  <si>
    <t>Iskolakezdési támogatás teljesítése</t>
  </si>
  <si>
    <t>R511073108</t>
  </si>
  <si>
    <t>Egyéb béren kívüli juttatás teljesítése</t>
  </si>
  <si>
    <t>R511073113</t>
  </si>
  <si>
    <t>Munkábajárás útiköltsége, bérlet</t>
  </si>
  <si>
    <t>R511093100</t>
  </si>
  <si>
    <t>Munkábajárás útiköltsége - saját gk. (9 Ft/km)</t>
  </si>
  <si>
    <t>R511093200</t>
  </si>
  <si>
    <t>Egyéb költségtérítések (bankköltség)</t>
  </si>
  <si>
    <t>R511103000</t>
  </si>
  <si>
    <t>Lakhatási támogatás,albérleti hozzájárulás</t>
  </si>
  <si>
    <t>R511113000</t>
  </si>
  <si>
    <t>Szociális jellegű juttatások</t>
  </si>
  <si>
    <t>R511123100</t>
  </si>
  <si>
    <t>Foglalkoztatottak e.szem.jutt.  (Távolléti díj)</t>
  </si>
  <si>
    <t>R511133100</t>
  </si>
  <si>
    <t>Saját munkavállaló oktatási megbízási díj</t>
  </si>
  <si>
    <t>R511133103</t>
  </si>
  <si>
    <t>Külföldi napidíj teljesítése</t>
  </si>
  <si>
    <t>R511133108</t>
  </si>
  <si>
    <t>Bérkompenzáció (teljes és részmunkaidős foglalk.)</t>
  </si>
  <si>
    <t>R511133109</t>
  </si>
  <si>
    <t>FOGLALKOZTATOTTAK SZEM. JUTTAT.</t>
  </si>
  <si>
    <t>29+30+31+32+33+34+35+36+37+38+39+40+41+42+43+44+45</t>
  </si>
  <si>
    <t>Külső megbízott megbízási díj teljesítése</t>
  </si>
  <si>
    <t>R512233201</t>
  </si>
  <si>
    <t>Külsős tiszteletdíj,szerzői díj,honoráriuma</t>
  </si>
  <si>
    <t>R512233204</t>
  </si>
  <si>
    <t>Külsős belföldi napidíj teljesítése</t>
  </si>
  <si>
    <t>R512233207</t>
  </si>
  <si>
    <t>Külsős külföldi napidíj teljesítése</t>
  </si>
  <si>
    <t>R512233208</t>
  </si>
  <si>
    <t>MVÉGZÉSRE IR. E. JOGVISZONYBAN FIZETETT JUTTATÁSOK</t>
  </si>
  <si>
    <t>47+48+49+50</t>
  </si>
  <si>
    <t>Felmentési bér teljesítése</t>
  </si>
  <si>
    <t>R512332002</t>
  </si>
  <si>
    <t>Munkaviszonyban nem állók költségtérítése</t>
  </si>
  <si>
    <t>R512332006</t>
  </si>
  <si>
    <t>Ktg.és egyéb juttatások</t>
  </si>
  <si>
    <t>R512333000</t>
  </si>
  <si>
    <t>Ktg.és egyéb jutt./vas.gyém.rubin okl.,ö.díj kieg.,OTKA p.)</t>
  </si>
  <si>
    <t>Reprezentáció</t>
  </si>
  <si>
    <t>R512336000</t>
  </si>
  <si>
    <t>EGYÉB KÜLSŐ SZEMÉLYI JUTTATÁSOK</t>
  </si>
  <si>
    <t>52+53+54+55+56</t>
  </si>
  <si>
    <t>KÜLSŐ SZEMÉLYI JUTTATÁSOK</t>
  </si>
  <si>
    <t>51+57</t>
  </si>
  <si>
    <t>SZEMÉLYI JUTTATÁSOK</t>
  </si>
  <si>
    <t>46+58</t>
  </si>
  <si>
    <t>SZOCHÓ (15,5%)</t>
  </si>
  <si>
    <t>R523100000</t>
  </si>
  <si>
    <t>N</t>
  </si>
  <si>
    <t>EKHO (15,5%)</t>
  </si>
  <si>
    <t>R523200000</t>
  </si>
  <si>
    <t>Kifizetői 15,5 %-os SZOCHO</t>
  </si>
  <si>
    <t>R523300000</t>
  </si>
  <si>
    <t>Kifizető által fizetett SZJA</t>
  </si>
  <si>
    <t>R523911000</t>
  </si>
  <si>
    <t>Rehabilitációs hozzájárulás</t>
  </si>
  <si>
    <t>R523993000</t>
  </si>
  <si>
    <t>MUNKAADÓKAT T.JÁRULÉKOK ÉS SZOCIÁLIS HOZZÁJÁRULÁSI ADÓ</t>
  </si>
  <si>
    <t>60+61+62+63+64+65</t>
  </si>
  <si>
    <t>Gyógyszerbeszerzés</t>
  </si>
  <si>
    <t>R531130000</t>
  </si>
  <si>
    <t>Vegyszerbeszerzés</t>
  </si>
  <si>
    <t>Egyéb szakmai anyagbeszerzés</t>
  </si>
  <si>
    <t>Könyvbeszerzés (5% ÁFA)</t>
  </si>
  <si>
    <t>Egy éven belül elhasználódó szakmai anyag</t>
  </si>
  <si>
    <t>SZAKMAI ANYAGOK BESZERZÉSE</t>
  </si>
  <si>
    <t>67+68+69+70+71</t>
  </si>
  <si>
    <t>Irodaszer. sokszorosítási. számítástechnikai anyagok</t>
  </si>
  <si>
    <t>R531230000</t>
  </si>
  <si>
    <t>Nyomtatvány beszerzés</t>
  </si>
  <si>
    <t>Hajtó- és kenőanyag beszerzése</t>
  </si>
  <si>
    <t>Munka-. védő- és formaruha beszerzés</t>
  </si>
  <si>
    <t>Karbantartási anyagok. alkatrészek.szerszámok beszerz</t>
  </si>
  <si>
    <t>Bútorok.berend..felszer. tárgyak. textíliák beszerz.</t>
  </si>
  <si>
    <t>Tisztítószerek. tisztálkodási szerek beszerzése</t>
  </si>
  <si>
    <t>Számítástechnikai alkatrészek.készletek beszerzése</t>
  </si>
  <si>
    <t>Egyéb készletbeszerzés</t>
  </si>
  <si>
    <t>ÜZEMELTETÉSI ANYAGOK BESZERZÉSE</t>
  </si>
  <si>
    <t>73+74+75+76+77+78+79+80+81</t>
  </si>
  <si>
    <t>KÉSZLETBESZERZÉS</t>
  </si>
  <si>
    <t>72+82</t>
  </si>
  <si>
    <t>Számítástechnikai oktatási szolg.</t>
  </si>
  <si>
    <t>R532130000</t>
  </si>
  <si>
    <t>Inform.eszközök, szolg.bérlet,lízingelés ktg.</t>
  </si>
  <si>
    <t>Informatikai eszközök karbantartása. kisjav.</t>
  </si>
  <si>
    <t>Adatfeldolgozási szolgáltatások</t>
  </si>
  <si>
    <t>Adatátviteli célú távközlési díjak</t>
  </si>
  <si>
    <t>INFORMATIKAI SZOLGÁLTATÁSOK IGÉNYBEVÉTELE</t>
  </si>
  <si>
    <t>84+85+86+87+88</t>
  </si>
  <si>
    <t>TV előfizetési díj</t>
  </si>
  <si>
    <t>R532231100</t>
  </si>
  <si>
    <t>Egyéb kommunikációs szolgáltatások</t>
  </si>
  <si>
    <t>Nem adatátviteli célú távközlési díjak</t>
  </si>
  <si>
    <t>R532231200</t>
  </si>
  <si>
    <t>Nem járulékköteles távközlési díj</t>
  </si>
  <si>
    <t>EGYÉB KOMMUNIKÁCIÓS SZOLGÁLTATÁSOK</t>
  </si>
  <si>
    <t>90+91+92+93</t>
  </si>
  <si>
    <t>KOMMUNIKÁCIÓS SZOLGÁLTATÁSOK</t>
  </si>
  <si>
    <t>89+94</t>
  </si>
  <si>
    <t>Villamosenergia szolgáltatás díja</t>
  </si>
  <si>
    <t>R533130000</t>
  </si>
  <si>
    <t>Gázenergia szolgáltatás díja</t>
  </si>
  <si>
    <t>Távhő és melegvíz szolgáltatás díja</t>
  </si>
  <si>
    <t>Víz- és csatornadíjak</t>
  </si>
  <si>
    <t>ÁFA mentes villamosenergia szolgáltatás díja</t>
  </si>
  <si>
    <t>KÖZÜZEMI DÍJAK</t>
  </si>
  <si>
    <t>96+97+98+99+100</t>
  </si>
  <si>
    <t>Vásárolt élelmezés</t>
  </si>
  <si>
    <t>R533230000</t>
  </si>
  <si>
    <t>VÁSÁROLT ÉLELMEZÉS</t>
  </si>
  <si>
    <t>PPP szolgáltatás</t>
  </si>
  <si>
    <t>R533331000</t>
  </si>
  <si>
    <t>Egyéb kül. bérleti és lízing díjak (PPP nélkül)</t>
  </si>
  <si>
    <t>R533332000</t>
  </si>
  <si>
    <t>Ingatlan bérleti díj költségei (Áfa mentes)</t>
  </si>
  <si>
    <t>BÉRLETI ÉS LÍZING DÍJAK</t>
  </si>
  <si>
    <t>104+105+106</t>
  </si>
  <si>
    <t>Ingatlanok karbantartása. kisjavítása</t>
  </si>
  <si>
    <t>R533430000</t>
  </si>
  <si>
    <t>Gépek berendezések karbantartása, kisjavítása ktg.</t>
  </si>
  <si>
    <t>Járművekkel kapcsolatos karbantartási, kisjav. kiadások</t>
  </si>
  <si>
    <t>KARBANTARTÁSI. KISJAVÍTÁSI SZOLGÁLTATÁSOK</t>
  </si>
  <si>
    <t>108+109+110</t>
  </si>
  <si>
    <t>AHT-n belüli közvetített szolgáltatások</t>
  </si>
  <si>
    <t>R533531000</t>
  </si>
  <si>
    <t>AHT-n kívüli közvetített szolgáltatások</t>
  </si>
  <si>
    <t>R533532000</t>
  </si>
  <si>
    <t>KÖZVETÍTETT SZOLGÁLTATÁSOK</t>
  </si>
  <si>
    <t>112+113</t>
  </si>
  <si>
    <t>Vásárolt közszolgáltatások (pld. egészségügyi)</t>
  </si>
  <si>
    <t>R533630000</t>
  </si>
  <si>
    <t>Jogi szolgáltatások</t>
  </si>
  <si>
    <t>Számlázott (okt..kut.)szellemi tev.kiad.</t>
  </si>
  <si>
    <t>Szakmai szolgáltatások</t>
  </si>
  <si>
    <t>Sport és kulturális szolgáltatás</t>
  </si>
  <si>
    <t>Tanfolyamok. továbbképzések</t>
  </si>
  <si>
    <t>SZAKMAI TEVÉKENYSÉGET SEGÍTŐ SZOLGÁLTATÁSOK</t>
  </si>
  <si>
    <t>115+116+117+118+119+120</t>
  </si>
  <si>
    <t>Egyéb pénzügyi szoltáltatások (bankktg.)</t>
  </si>
  <si>
    <t>R533737100</t>
  </si>
  <si>
    <t>Anyag- és áruszállítás költségei</t>
  </si>
  <si>
    <t>Egyéb szállítás költségei</t>
  </si>
  <si>
    <t>Postai levél. csomag. feladott távirat</t>
  </si>
  <si>
    <t>Takarítás</t>
  </si>
  <si>
    <t>Rovarirtás</t>
  </si>
  <si>
    <t>Kommunális hulladék szállítási költségei</t>
  </si>
  <si>
    <t>Kéményseprési díjak költségei</t>
  </si>
  <si>
    <t>Nyomdai költség</t>
  </si>
  <si>
    <t>Ingatlanok üzemelt. fenntartási kiad.</t>
  </si>
  <si>
    <t>Egyéb üzemelt. Kiadások (mosás, rakodás)</t>
  </si>
  <si>
    <t>Egyéb más jellegű szolg. Költségei (audit, ell.)</t>
  </si>
  <si>
    <t>Biztosítási díj (központilag fizetett vagyonbiztosítás)</t>
  </si>
  <si>
    <t>R533737200</t>
  </si>
  <si>
    <t>EGYÉB SZOLGÁLTATÁSOK</t>
  </si>
  <si>
    <t>122+123+124+125+126+127+128+129+130+131+132+133+134</t>
  </si>
  <si>
    <t>SZOLGÁLTATÁSI KIADÁSOK</t>
  </si>
  <si>
    <t>95+101+103+107+111+114+121+135</t>
  </si>
  <si>
    <t>Külföldi kiküldetések kiadásai</t>
  </si>
  <si>
    <t>R534130000</t>
  </si>
  <si>
    <t>Belföldi kiküldetések kiadásai</t>
  </si>
  <si>
    <t>Reklám- és propaganda költségei</t>
  </si>
  <si>
    <t>R534230000</t>
  </si>
  <si>
    <t>KIKÜLDETÉSEK. REKLÁM. PROPAGANDA</t>
  </si>
  <si>
    <t>137+138+139</t>
  </si>
  <si>
    <t>Nem levonható egyenes adós ÁFA anyag, szolg.</t>
  </si>
  <si>
    <t>R535132100</t>
  </si>
  <si>
    <t>Egyenes adózású ÁFA befizetés</t>
  </si>
  <si>
    <t>R535231000</t>
  </si>
  <si>
    <t>ÁFA</t>
  </si>
  <si>
    <t>141+142</t>
  </si>
  <si>
    <t>Külf.pénzért.szóló köt.p.ügy.real.árfoly.veszt.</t>
  </si>
  <si>
    <t>R535432000</t>
  </si>
  <si>
    <t>H. adók.e. vám, illeték és adójell. befiz. ráf.</t>
  </si>
  <si>
    <t>R535531000</t>
  </si>
  <si>
    <t>Díjak, egyéb befiz., ráford. tagsági díjak kiad.</t>
  </si>
  <si>
    <t>Turizmusfejlesztési hozzájárulás (4%)</t>
  </si>
  <si>
    <t>Különféle egyéb dologi kiad. miatti egyéb ráfordítások</t>
  </si>
  <si>
    <t>R535535000</t>
  </si>
  <si>
    <t>Kollégiumok FK keret fele</t>
  </si>
  <si>
    <t>KÜLÖNFÉLE BEFIZETÉSEK ÉS EGYÉB DOLOGI KIADÁSOK</t>
  </si>
  <si>
    <t>144+145+146+147+148+149</t>
  </si>
  <si>
    <t>DOLOGI KIADÁSOK</t>
  </si>
  <si>
    <t>83+136+140+143+150</t>
  </si>
  <si>
    <t>Tanulmányi  ösztöndíj</t>
  </si>
  <si>
    <t>R547311000</t>
  </si>
  <si>
    <t>ERASMUS kiegészítő támogatás</t>
  </si>
  <si>
    <t>Tudományos ösztöndíj</t>
  </si>
  <si>
    <t>Közéleti ösztöndíj</t>
  </si>
  <si>
    <t>Tanulmányi verseny és konferencia részvétel támog.</t>
  </si>
  <si>
    <t>Nemzeti felsőoktatási ösztöndíj</t>
  </si>
  <si>
    <t>Szakmai gyakorlat</t>
  </si>
  <si>
    <t>R547312000</t>
  </si>
  <si>
    <t>Szociális alaptámogatás</t>
  </si>
  <si>
    <t>Bursa Hungarica intézményi rész</t>
  </si>
  <si>
    <t>Doktorandusz ösztöndíj</t>
  </si>
  <si>
    <t>R547315000</t>
  </si>
  <si>
    <t>Külföldiek normatív ösztöndíja</t>
  </si>
  <si>
    <t>Magyar Sportcsillagok ösztöndíj</t>
  </si>
  <si>
    <t>Stipendium Hungaricum ösztöndíj</t>
  </si>
  <si>
    <t>Lakhatási tám.-Stipendium Hungaricum ösztöndíjas</t>
  </si>
  <si>
    <t>ÚNKP ösztöndíj</t>
  </si>
  <si>
    <t>Egyéb külföldi felsőoktatási juttatások (Ceepus)</t>
  </si>
  <si>
    <t>R547316000</t>
  </si>
  <si>
    <t>Bursa Hungarica önkormányzati ösztöndíj</t>
  </si>
  <si>
    <t>Pályázati. alapítványi ösztöndíj</t>
  </si>
  <si>
    <t>OTDK</t>
  </si>
  <si>
    <t>MNB ösztöndíj (egyéb, m.hova nem sorolható hallg.kif.)</t>
  </si>
  <si>
    <t>Köznevelési ellátottak juttatásai</t>
  </si>
  <si>
    <t>R547317000</t>
  </si>
  <si>
    <t>ELLÁTOTTAK PÉNZBELI JUTTATÁSAI</t>
  </si>
  <si>
    <t>152+153+154+155+156+157+158+159+160+161+162+163+164+165+166+167+168+169+170+171+172</t>
  </si>
  <si>
    <t>Európai Uniós kötelezettségek kiadásai</t>
  </si>
  <si>
    <t>R550131000</t>
  </si>
  <si>
    <t>Egyéb nemzetközi kötelezettségek kiadásai</t>
  </si>
  <si>
    <t>R550132000</t>
  </si>
  <si>
    <t>Felügyeleti szerv.javára telj.egyéb befiz.</t>
  </si>
  <si>
    <t>R550233300</t>
  </si>
  <si>
    <t>Elvonások és befizetések ráfordításai</t>
  </si>
  <si>
    <t>R550233900</t>
  </si>
  <si>
    <t>Egyéb műk.c. tám. közp.ktv szervek részére</t>
  </si>
  <si>
    <t>R550630000</t>
  </si>
  <si>
    <t>Egyéb műk.c. tám. fej.kez.előir. EU-s pr.és h.társ</t>
  </si>
  <si>
    <t>R550632000</t>
  </si>
  <si>
    <t>Egyéb műk.c. tám. egyéb fej.kez.előir. részére</t>
  </si>
  <si>
    <t>R550633000</t>
  </si>
  <si>
    <t>Egyéb műk.c. tám. elkül.áll. pénzalapok részére</t>
  </si>
  <si>
    <t>R550636000</t>
  </si>
  <si>
    <t>Egyéb műk.c. tám. helyi önkorm.és ktv szerv.</t>
  </si>
  <si>
    <t>R550637000</t>
  </si>
  <si>
    <t>Működési célú pénzeszközátadás EU-nak-08</t>
  </si>
  <si>
    <t>R551130000</t>
  </si>
  <si>
    <t>Egyéb műk.c. tám. nonprofit gazd.társ.r.</t>
  </si>
  <si>
    <t>R551232000</t>
  </si>
  <si>
    <t>Egyéb műk.c. támk. áll.többségi tul.nem pü.váll..r.</t>
  </si>
  <si>
    <t>R551236000</t>
  </si>
  <si>
    <t>Egyéb műk.c. tám. korm. és nemz.szerv.</t>
  </si>
  <si>
    <t>R551239100</t>
  </si>
  <si>
    <t>EGYÉB MŰKÖDÉSI CÉLÚ KIADÁSOK</t>
  </si>
  <si>
    <t>174+175+176+177+178+179+180+181+182+183+184+185+186</t>
  </si>
  <si>
    <t>MŰKÖDÉSI KIADÁSOK ÖSSZESEN</t>
  </si>
  <si>
    <t>59+66+151+173+187</t>
  </si>
  <si>
    <t>Vagyoni értékű jogok vásárlása</t>
  </si>
  <si>
    <t>R561310000</t>
  </si>
  <si>
    <t>IMMATERIÁLIS JAVAK BESZERZÉSE/LÉTESÍTÉSE</t>
  </si>
  <si>
    <t>Épületek vásárlása/létesítése</t>
  </si>
  <si>
    <t>R562333000</t>
  </si>
  <si>
    <t>Egyéb építmények vásárlása/létesítése</t>
  </si>
  <si>
    <t>R562334000</t>
  </si>
  <si>
    <t>Ing.kapcs.vagyoni értékű jogok vásárl.</t>
  </si>
  <si>
    <t>R562350000</t>
  </si>
  <si>
    <t>INGATLANOK BESZERZÉSE/LÉTESÍTÉSE</t>
  </si>
  <si>
    <t>191+192+193</t>
  </si>
  <si>
    <t>Informatikai eszközök vásárlása/létesítése</t>
  </si>
  <si>
    <t>R563310000</t>
  </si>
  <si>
    <t>INFORMATIKAI ESZKÖZÖK BESZERZÉSE/LÉTESÍTÉSE</t>
  </si>
  <si>
    <t>Egyéb gépek. berend. vásárlása/létesítése</t>
  </si>
  <si>
    <t>R564310000</t>
  </si>
  <si>
    <t>EGYÉB TÁRGYI ESZKÖZÖK BESZERZÉSE/LÉTESÍTÉSE</t>
  </si>
  <si>
    <t>Levonható egyenes adós ÁFA beruházás</t>
  </si>
  <si>
    <t>R567311000</t>
  </si>
  <si>
    <t>Nem levonható egyenes adós ÁFA beruházás</t>
  </si>
  <si>
    <t>R567321000</t>
  </si>
  <si>
    <t>BERUHÁZÁSI CÉLÚ ELŐZ.FELSZ. ÁFA</t>
  </si>
  <si>
    <t>199+200</t>
  </si>
  <si>
    <t>BERUHÁZÁSOK</t>
  </si>
  <si>
    <t>190+194+196+198+201</t>
  </si>
  <si>
    <t>Épületek felújítása</t>
  </si>
  <si>
    <t>R571333000</t>
  </si>
  <si>
    <t>Egyéb építmények felújítása</t>
  </si>
  <si>
    <t>R571340000</t>
  </si>
  <si>
    <t>INGATLANOK FELÚJÍTÁSA</t>
  </si>
  <si>
    <t>203+204</t>
  </si>
  <si>
    <t>Informatikai eszközök felújítása</t>
  </si>
  <si>
    <t>R572310000</t>
  </si>
  <si>
    <t>INFORMATIKAI ESZKÖZÖK FELÚJÍTÁSA</t>
  </si>
  <si>
    <t>Egyéb gépek. berend. felújítása</t>
  </si>
  <si>
    <t>R573310000</t>
  </si>
  <si>
    <t>EGYÉB TÁRGYI ESZKÖZÖK FELÚJÍTÁSA</t>
  </si>
  <si>
    <t>Nem levonható egyenes adós ÁFA felújítás</t>
  </si>
  <si>
    <t>R574321000</t>
  </si>
  <si>
    <t>FELÚJÍTÁSI CÉLÚ ELŐZETESEN FELSZÁMÍTOTT ÁFA</t>
  </si>
  <si>
    <t>FELÚJÍTÁSOK</t>
  </si>
  <si>
    <t>205+207+209+211</t>
  </si>
  <si>
    <t>Dolgozók lakásép..vásárl.foly.kölcsönök</t>
  </si>
  <si>
    <t>R586310000</t>
  </si>
  <si>
    <t>Egyéb felh.c. tám. nonprofit gazd.társ.r.</t>
  </si>
  <si>
    <t>R589312000</t>
  </si>
  <si>
    <t>Egyéb felh.c. tám. egyéb civil szerve. részére</t>
  </si>
  <si>
    <t>R589313000</t>
  </si>
  <si>
    <t>Egyéb felh.c. támk. áll.többségi tul.nem pü.váll..r.</t>
  </si>
  <si>
    <t>R589316000</t>
  </si>
  <si>
    <t>EGYÉB FELHALMOZÁSI CÉLÚ KIADÁSOK</t>
  </si>
  <si>
    <t>213+214+215+216</t>
  </si>
  <si>
    <t>FELHALMOZÁSI KIADÁSOK ÖSSZESEN</t>
  </si>
  <si>
    <t>202+212+217</t>
  </si>
  <si>
    <t>KÖLTSÉGVETÉSI KIADÁSOK ÖSSZESEN</t>
  </si>
  <si>
    <t>188+218</t>
  </si>
  <si>
    <t>Egyéb műk.c. tám. bev. kp. ktv.szervektől</t>
  </si>
  <si>
    <t>R916310000</t>
  </si>
  <si>
    <t>Egyéb műk.c. tám. bev fej. k.e. EU-s pr. és h.t.fin.</t>
  </si>
  <si>
    <t>R916330000</t>
  </si>
  <si>
    <t>Egyéb műk.c. tám. bev egyéb fej.kez előir.</t>
  </si>
  <si>
    <t>R916340000</t>
  </si>
  <si>
    <t>Egyéb műk.c. tám. bev.tb pü alapjaitól</t>
  </si>
  <si>
    <t>R916350000</t>
  </si>
  <si>
    <t>Egyéb műk.c. tám. bev elkül. áll. pénzalapoktól</t>
  </si>
  <si>
    <t>R916360000</t>
  </si>
  <si>
    <t>Egyéb műk.c. tám. bev helyi önkorm. és ktv.sz</t>
  </si>
  <si>
    <t>R916370000</t>
  </si>
  <si>
    <t>EGYÉB MŰKÖDÉSI CÉLÚ TÁM.BEVÉTELEI ÁH-N BELÜLRŐL</t>
  </si>
  <si>
    <t>220+221+222+223+224+225+226</t>
  </si>
  <si>
    <t>Fejkez eitól EU-s társfinmiatt felh c.tám bev</t>
  </si>
  <si>
    <t>R925331000</t>
  </si>
  <si>
    <t>Egyéb fejkez eitól felhalm célú tám bev</t>
  </si>
  <si>
    <t>R925332000</t>
  </si>
  <si>
    <t>R925350000</t>
  </si>
  <si>
    <t>Helyi önk, ktgvi szerveitől felh c. tám bev</t>
  </si>
  <si>
    <t>R925360000</t>
  </si>
  <si>
    <t>EGYÉB FELH. CÉLÚ TÁM.BEVÉTELEI ÁH-N BELÜLRŐL</t>
  </si>
  <si>
    <t>228+229+230+231</t>
  </si>
  <si>
    <t>Vásárolt. saját előállítású  jegyzet. tankönyv értékesít.</t>
  </si>
  <si>
    <t>R940131100</t>
  </si>
  <si>
    <t>Egyéb áru és készletértékesítés</t>
  </si>
  <si>
    <t>Gyakorló kert bevételei</t>
  </si>
  <si>
    <t>ÁRU-ÉS KÉSZLET ÉRTÉKESÍTÉS ELLENÉRTÉKE</t>
  </si>
  <si>
    <t>233+234+235</t>
  </si>
  <si>
    <t>Oktatási bevételek (tanfolyamok stb.)</t>
  </si>
  <si>
    <t>R940231000</t>
  </si>
  <si>
    <t>K + F tevékenység bevételei</t>
  </si>
  <si>
    <t>R940232000</t>
  </si>
  <si>
    <t>Tárgyi eszköz bérbeadásából származó bevétel</t>
  </si>
  <si>
    <t>R940233000</t>
  </si>
  <si>
    <t>Bérleti és lízing díjbevételek</t>
  </si>
  <si>
    <t>Parkolási díjbevétel</t>
  </si>
  <si>
    <t>Vendéglátók által üzem0101tett étterem. büfé bérleti díja</t>
  </si>
  <si>
    <t>Kollégiumhasznosítással kapcs.bevételek (5% ÁFA)</t>
  </si>
  <si>
    <t>R940239000</t>
  </si>
  <si>
    <t>Egyéb szolgáltatások bevételei</t>
  </si>
  <si>
    <t>Étkezési térítési díj (alkalmazotti)</t>
  </si>
  <si>
    <t>Lakbér</t>
  </si>
  <si>
    <t>Üdülési díj</t>
  </si>
  <si>
    <t>SZOLGÁLTATÁSOK ELLENÉRTÉKE</t>
  </si>
  <si>
    <t>237+238+239+240+241+242+243+244+245+246+247</t>
  </si>
  <si>
    <t>Közvetített szolgáltatások ellenértéke ÁH-n belül</t>
  </si>
  <si>
    <t>R940331000</t>
  </si>
  <si>
    <t>Közvetített szolgáltatások ellenértéke ÁH-n kívül (Áfa mentes)</t>
  </si>
  <si>
    <t>R940332000</t>
  </si>
  <si>
    <t>KÖZVETÍTETT SZOLGÁLTATÁSOK BEVÉTELE</t>
  </si>
  <si>
    <t>249+250</t>
  </si>
  <si>
    <t>Ell.díjak - Köznevelési ell. - Óvodai ellátottak térítési díja</t>
  </si>
  <si>
    <t>R940531000</t>
  </si>
  <si>
    <t>Ell.díjak - Köznevelési ell. - Általános iskolások étkezési díja</t>
  </si>
  <si>
    <t>Ell.díjak - Köznevelési ell. - Középiskolások étkezési díja</t>
  </si>
  <si>
    <t>Ell.díjak - Neptun - Önktg. Költségtérítés</t>
  </si>
  <si>
    <t>R940532000</t>
  </si>
  <si>
    <t>Ell.díjak-Neptun-Egyéb szolg.d.- Felv.iratk.díjak (regiszt.) KTGTÉR</t>
  </si>
  <si>
    <t>R940533000</t>
  </si>
  <si>
    <t>Ell.díjak-Neptun-Egyéb szolg.d.-Tantárgyi vizsgaismétlési díj (UV díj)</t>
  </si>
  <si>
    <t>Ell.díjak-Neptun-Egyéb szolg.d. - Tantárgyismétlési díj</t>
  </si>
  <si>
    <t>Ell.díjak-Neptun-Egyéb szolg.d.-Oklevél, diplomakiállítási díj</t>
  </si>
  <si>
    <t>Ell.díjak-Neptun-Egyéb szolg.d.-Kredittúllépés, kreditkihagyási díj</t>
  </si>
  <si>
    <t>Ell.díjak-Neptun-Egyéb szolg.d. - Nyelvvizsga díj</t>
  </si>
  <si>
    <t>Ell.díjak-Neptun-Egyéb szolg.d. - Utólagos kurzusfelvétel. leadás</t>
  </si>
  <si>
    <t>Ell.díjak-Neptun-Egyéb szolg.d. - Késedelmes leadás. felvétel</t>
  </si>
  <si>
    <t>Ell.díjak-Neptun-Egyéb szolg.d. - Késedelmes befizetés</t>
  </si>
  <si>
    <t>Ell.díjak-Neptun-Egyéb szolg.d.-Kreditenkénti költségtérítés - túlfutók</t>
  </si>
  <si>
    <t>Ell.díjak-Neptun-Egyéb szolg.d.- Doktori eljárási díjak</t>
  </si>
  <si>
    <t>Ell.díjak-Neptun-Egyéb szolg.d.-Egyéb különeljárási és késedelmi díjak</t>
  </si>
  <si>
    <t>Ell.díjak - Neptun - Kollégiumi bevételek</t>
  </si>
  <si>
    <t>R940534000</t>
  </si>
  <si>
    <t>Ell.díjak - NEM Neptun -Habilitációs díjak</t>
  </si>
  <si>
    <t>R940535000</t>
  </si>
  <si>
    <t>Ell.díjak - NEM Neptun rendszeren keresztül beszedett bev.</t>
  </si>
  <si>
    <t>ELLÁTÁSI DÍJAK</t>
  </si>
  <si>
    <t>252+253+254+255+256+257+258+259+260+261+262+263+264+265+266+267+268+269+270</t>
  </si>
  <si>
    <t>Egyenes adós ÁFA anyag</t>
  </si>
  <si>
    <t>R940633100</t>
  </si>
  <si>
    <t>Egyenes adós ÁFA szolgáltatás</t>
  </si>
  <si>
    <t>R940633140</t>
  </si>
  <si>
    <t>Egyenes adós ÁFA beruházás (Értékesített t.eszk.áfa)</t>
  </si>
  <si>
    <t>R940634000</t>
  </si>
  <si>
    <t>KISZÁMLÁZOTT ÁFA</t>
  </si>
  <si>
    <t>272+273+274</t>
  </si>
  <si>
    <t>Működési kiadásokhoz kapcs ÁFA visszatér bev</t>
  </si>
  <si>
    <t>R940731100</t>
  </si>
  <si>
    <t>ÁFA VISSZATÉRÜLÉS</t>
  </si>
  <si>
    <t>Áht kiv. egyéb kamat-, kamatjellegű e/bevét</t>
  </si>
  <si>
    <t>R940823100</t>
  </si>
  <si>
    <t>KAMATBEVÉTELEK</t>
  </si>
  <si>
    <t>Évközi realizált árf. nyereség AUT</t>
  </si>
  <si>
    <t>R940923200</t>
  </si>
  <si>
    <t>Évközi realizált árf. nyereség</t>
  </si>
  <si>
    <t>R940923300</t>
  </si>
  <si>
    <t>Egyéb pénzügyi műv.e.eredmsz.bevétele</t>
  </si>
  <si>
    <t>R940923900</t>
  </si>
  <si>
    <t>EGYÉB PÉNZÜGYI MŰVELETEK BEVÉTELEI</t>
  </si>
  <si>
    <t>280+281+282</t>
  </si>
  <si>
    <t>Biztosító által fizetett kártérítés</t>
  </si>
  <si>
    <t>R941030000</t>
  </si>
  <si>
    <t>SB ÁKTH ÁTADÁS</t>
  </si>
  <si>
    <t>R941031000</t>
  </si>
  <si>
    <t>SB Képzési finanszírozás átadás</t>
  </si>
  <si>
    <t>R941032000</t>
  </si>
  <si>
    <t>R941034000</t>
  </si>
  <si>
    <t>SB SZOCHO megtakarítás</t>
  </si>
  <si>
    <t>R941035000</t>
  </si>
  <si>
    <t>SB Közterületesítési különbözet</t>
  </si>
  <si>
    <t>R941036000</t>
  </si>
  <si>
    <t>SB Informatikai közvetlen költségek</t>
  </si>
  <si>
    <t>R941037000</t>
  </si>
  <si>
    <t>SB Nemzetköziesítési feladatok</t>
  </si>
  <si>
    <t>R941038000</t>
  </si>
  <si>
    <t>SB Folyóiratok finanszírozása</t>
  </si>
  <si>
    <t>R941039100</t>
  </si>
  <si>
    <t>SB Átoktatásra bevétel ÁTADÁS</t>
  </si>
  <si>
    <t>R941039200</t>
  </si>
  <si>
    <t>SB ÁKTH ÁTVÉTEL</t>
  </si>
  <si>
    <t>R941039300</t>
  </si>
  <si>
    <t>R941039400</t>
  </si>
  <si>
    <t>SB Kari kiválósági keret</t>
  </si>
  <si>
    <t>R941039500</t>
  </si>
  <si>
    <t>SB Kiválósági Alap</t>
  </si>
  <si>
    <t>R941039600</t>
  </si>
  <si>
    <t>SB Belső működési átadás</t>
  </si>
  <si>
    <t>R941039700</t>
  </si>
  <si>
    <t>SB Belső keresztfinanszírozás</t>
  </si>
  <si>
    <t>R941039800</t>
  </si>
  <si>
    <t>SB Átoktatásra bevétel ÁTVÉTEL</t>
  </si>
  <si>
    <t>R941039900</t>
  </si>
  <si>
    <t>SB ELVONÁSOK ÖSSZESEN</t>
  </si>
  <si>
    <t>285+286+287+288+289+290+291+292+293+294+295+296+297+298+299+300+301</t>
  </si>
  <si>
    <t>Kiadások visszatérítései</t>
  </si>
  <si>
    <t>R941132300</t>
  </si>
  <si>
    <t>Egyéb működési bevétel</t>
  </si>
  <si>
    <t>R941139900</t>
  </si>
  <si>
    <t>EGYÉB MŰKÖDÉSI BEVÉTELEK</t>
  </si>
  <si>
    <t>303+304</t>
  </si>
  <si>
    <t>MŰKÖDÉSI BEVÉTELEK</t>
  </si>
  <si>
    <t>236+248+251+271+275+277+279+283+284+302+305</t>
  </si>
  <si>
    <t>EGYÉB TÁRGYI ESZKÖZÖK ÉRTÉKESÍTÉSE</t>
  </si>
  <si>
    <t>R953320000</t>
  </si>
  <si>
    <t>Egyéb műk.c. átvett pe. nonpr. gazd.társaságoktól</t>
  </si>
  <si>
    <t>R965320000</t>
  </si>
  <si>
    <t>Egyéb műk.c. átvett pe. egyéb civil szervezetektől</t>
  </si>
  <si>
    <t>R965330000</t>
  </si>
  <si>
    <t>Egyéb műk.c. átvett pe. háztartásoktól</t>
  </si>
  <si>
    <t>R965340000</t>
  </si>
  <si>
    <t>Egyéb műk.c. átvett pe önk.többs.tul.nem pü.váll.</t>
  </si>
  <si>
    <t>R965380000</t>
  </si>
  <si>
    <t>Egyéb műk.c. átvett pe egyéb vállalkozásoktól</t>
  </si>
  <si>
    <t>R965390000</t>
  </si>
  <si>
    <t>Egyéb műk.c. átvett pe Európai Uniótól</t>
  </si>
  <si>
    <t>R965391000</t>
  </si>
  <si>
    <t>Egyéb műk.c. átvett pe korm.és nemz.szerv.</t>
  </si>
  <si>
    <t>R965392000</t>
  </si>
  <si>
    <t>Egyéb műk.c. átvett pe.egyéb külföldiektől</t>
  </si>
  <si>
    <t>R965393000</t>
  </si>
  <si>
    <t>MŰKÖDÉSI CÉLÚ ÁTVETT PÉNZESZKÖZ</t>
  </si>
  <si>
    <t>308+309+310+311+312+313+314+315</t>
  </si>
  <si>
    <t>Felhalmozási célú p.átvétel háztartásoktól-(dolg.lakásépít.kölcsön megtér.)</t>
  </si>
  <si>
    <t>R974310000</t>
  </si>
  <si>
    <t>Egyéb felh.c.átvett pe Európai Uniótól</t>
  </si>
  <si>
    <t>R975390000</t>
  </si>
  <si>
    <t>FELHALMOZÁSI CÉLÚ ÁTVETT PÉNZESZKÖZÖK</t>
  </si>
  <si>
    <t>317+318</t>
  </si>
  <si>
    <t>Működési költségvetés támogatása - Képzés</t>
  </si>
  <si>
    <t>R981631110</t>
  </si>
  <si>
    <t>Működési költségvetés támogatása - Hallg. juttatás tám.</t>
  </si>
  <si>
    <t>R981631120</t>
  </si>
  <si>
    <t>Működési költségvetés támogatása - Céltámogatás</t>
  </si>
  <si>
    <t>R981631130</t>
  </si>
  <si>
    <t>Működési költségvetés támogatása - PPP támogatása</t>
  </si>
  <si>
    <t>R981631140</t>
  </si>
  <si>
    <t>Működési költségvetés támogatása - Közoktatási feladatok</t>
  </si>
  <si>
    <t>R981631150</t>
  </si>
  <si>
    <t>Működési költségvetés támogatása - Pályázatok</t>
  </si>
  <si>
    <t>R981631160</t>
  </si>
  <si>
    <t>Működési költségvetés támogatása - Egyéb állami bevétel</t>
  </si>
  <si>
    <t>R981631170</t>
  </si>
  <si>
    <t>Működési költségvetés támogatása - Stipendium</t>
  </si>
  <si>
    <t>R981631180</t>
  </si>
  <si>
    <t>KÖZPONTI, IRÁNYÍTÓ SZERVI, MŰKÖDÉSI TÁMOGATÁS</t>
  </si>
  <si>
    <t>320+321+322+323+324+325+326+327</t>
  </si>
  <si>
    <t>Irányító szervtől kapott felhalmozási célú támogat</t>
  </si>
  <si>
    <t>R981632100</t>
  </si>
  <si>
    <t>Irányító szervtől kapott felhalmozási célú támogat CO</t>
  </si>
  <si>
    <t>KÖZPONTI, IRÁNYÍTÓ SZERVI, FELHALMOZÁSI TÁMOGATÁS</t>
  </si>
  <si>
    <t>329+330</t>
  </si>
  <si>
    <t>T ÁKTH ÁTADÁS</t>
  </si>
  <si>
    <t>R981632306</t>
  </si>
  <si>
    <t>T Képzési finanszírozás átadás</t>
  </si>
  <si>
    <t>R981632307</t>
  </si>
  <si>
    <t>T SZOCHO megtakarítás</t>
  </si>
  <si>
    <t>R981632309</t>
  </si>
  <si>
    <t>T Közterületesítési különbözet</t>
  </si>
  <si>
    <t>R981632310</t>
  </si>
  <si>
    <t>T Informatikai közvetlen költségek</t>
  </si>
  <si>
    <t>R981632311</t>
  </si>
  <si>
    <t>T ÁKTH ÁTVÉTEL</t>
  </si>
  <si>
    <t>R981632313</t>
  </si>
  <si>
    <t>T Folyóiratok finanszírozása</t>
  </si>
  <si>
    <t>R981632314</t>
  </si>
  <si>
    <t>T Kari kiválósági keret</t>
  </si>
  <si>
    <t>R981632315</t>
  </si>
  <si>
    <t>T Kiválósági Alap</t>
  </si>
  <si>
    <t>R981632316</t>
  </si>
  <si>
    <t>T Átoktatásra támogatás ÁTADÁS</t>
  </si>
  <si>
    <t>R981632317</t>
  </si>
  <si>
    <t>T Belső működésre átadás</t>
  </si>
  <si>
    <t>R981632318</t>
  </si>
  <si>
    <t>T Belső keresztfinanszírozás</t>
  </si>
  <si>
    <t>R981632319</t>
  </si>
  <si>
    <t>T tanárképzés közös ktg</t>
  </si>
  <si>
    <t>R981632320</t>
  </si>
  <si>
    <t>T Pályázati átvállalás</t>
  </si>
  <si>
    <t>R981632322</t>
  </si>
  <si>
    <t>T Átoktatásra támogatás ÁTVÉTEL</t>
  </si>
  <si>
    <t>R981632324</t>
  </si>
  <si>
    <t>R981632325</t>
  </si>
  <si>
    <t>ELVONÁSOK TÁMOGATÁSBÓL</t>
  </si>
  <si>
    <t>KÖZPONTI, IRÁNYÍTÓ SZERVI TÁMOGATÁS</t>
  </si>
  <si>
    <t>328+331+351</t>
  </si>
  <si>
    <t>BEVÉTELEK ÖSSZESEN</t>
  </si>
  <si>
    <t>227+232+306+307+316+319+352</t>
  </si>
  <si>
    <t>Képzési támogatás tervezése képzési munkaszámokra</t>
  </si>
  <si>
    <t>Átoktatás szűrés</t>
  </si>
  <si>
    <t>Átoktatás</t>
  </si>
  <si>
    <t>CELTAMOGATAS</t>
  </si>
  <si>
    <t>TELEPHELY</t>
  </si>
  <si>
    <t>ADMINKAR</t>
  </si>
  <si>
    <t>Összeg / Támogatás</t>
  </si>
  <si>
    <t>Összeg / Önköltség</t>
  </si>
  <si>
    <t>Összeg / Egyéb</t>
  </si>
  <si>
    <t>Összeg / SH</t>
  </si>
  <si>
    <t>CELSZERVEZET</t>
  </si>
  <si>
    <t>BudapestÁJTK</t>
  </si>
  <si>
    <t>Budapest</t>
  </si>
  <si>
    <t>BudapestBGGYK</t>
  </si>
  <si>
    <t>BudapestBDPK-SEK</t>
  </si>
  <si>
    <t>BDPK-SEK</t>
  </si>
  <si>
    <t>BudapestBTK</t>
  </si>
  <si>
    <t>BudapestGAUG</t>
  </si>
  <si>
    <t>GAUG</t>
  </si>
  <si>
    <t>BudapestIK</t>
  </si>
  <si>
    <t>BudapestPPK</t>
  </si>
  <si>
    <t>BudapestTÁTK</t>
  </si>
  <si>
    <t>BudapestTÓK</t>
  </si>
  <si>
    <t>BudapestTKK</t>
  </si>
  <si>
    <t>TKK</t>
  </si>
  <si>
    <t>BudapestTTK</t>
  </si>
  <si>
    <t>SzombathelyBDPK-SEK</t>
  </si>
  <si>
    <t>Szombathely</t>
  </si>
  <si>
    <t>SzombathelyIK</t>
  </si>
  <si>
    <t>SzombathelyPPK</t>
  </si>
  <si>
    <t>SzombathelyTÁTK</t>
  </si>
  <si>
    <t>Végösszeg</t>
  </si>
  <si>
    <t>SzombathelyTKK</t>
  </si>
  <si>
    <t>SzombathelyTÓK</t>
  </si>
  <si>
    <t>BudapestUPA</t>
  </si>
  <si>
    <t>UPA</t>
  </si>
  <si>
    <t>NyíregyházaBGGYK</t>
  </si>
  <si>
    <t>Nyíregyháza</t>
  </si>
  <si>
    <t>Kar</t>
  </si>
  <si>
    <t>Saját bevétel (önköltséges)</t>
  </si>
  <si>
    <t>SH 85 %</t>
  </si>
  <si>
    <t>Egyéb</t>
  </si>
  <si>
    <t>adminkar szerint</t>
  </si>
  <si>
    <t>átadott átoktatás</t>
  </si>
  <si>
    <t>kapott átoktatás</t>
  </si>
  <si>
    <t>célszervezet szerint</t>
  </si>
  <si>
    <t>EJC</t>
  </si>
  <si>
    <t>Képzési munkaszámok</t>
  </si>
  <si>
    <t>Átoktatás átadás, támogatás</t>
  </si>
  <si>
    <t>K07301/19</t>
  </si>
  <si>
    <t>Átoktatás bevételből</t>
  </si>
  <si>
    <t>K07302/19</t>
  </si>
  <si>
    <t>Átoktatás támogatásból</t>
  </si>
  <si>
    <t>K07303/19</t>
  </si>
  <si>
    <t>K07304/19</t>
  </si>
  <si>
    <t>Átoktatás stipendiumból</t>
  </si>
  <si>
    <t>Átoktatás egyéb</t>
  </si>
  <si>
    <t>Átoktatás átadás, önköltséges</t>
  </si>
  <si>
    <t>Kötelező minimálbér, garantált bérminimum kiegészítés</t>
  </si>
  <si>
    <t>Kulturális illetménypótlék</t>
  </si>
  <si>
    <t>további bontás</t>
  </si>
  <si>
    <t>bp AKTH 19%</t>
  </si>
  <si>
    <t>Állam- és Jogtudományi Kar</t>
  </si>
  <si>
    <t>Bölcsészettudományi Kar</t>
  </si>
  <si>
    <t>Pedagógiai és Pszichológiai Kar</t>
  </si>
  <si>
    <t>Társadalomtudományi Kar</t>
  </si>
  <si>
    <t>Természettudományi Kar</t>
  </si>
  <si>
    <t>Informatikai Kar</t>
  </si>
  <si>
    <t>Bárczi Gusztáv Gyógypedagógiai Kar</t>
  </si>
  <si>
    <t>Tanító- és Óvóképző Kar</t>
  </si>
  <si>
    <t>BDPK</t>
  </si>
  <si>
    <t>kollégium</t>
  </si>
  <si>
    <t>Szolgáltató Igazgatóság</t>
  </si>
  <si>
    <t>OKTIG</t>
  </si>
  <si>
    <t>Egyetemi Könyvtár és Levéltár</t>
  </si>
  <si>
    <t>Központi kezelés</t>
  </si>
  <si>
    <t>Füvészkert</t>
  </si>
  <si>
    <t>Konfuciusz</t>
  </si>
  <si>
    <t>Köznevelés Budapest</t>
  </si>
  <si>
    <t>Köznevelés Szombathely - Bolyai</t>
  </si>
  <si>
    <t>Hallgatók</t>
  </si>
  <si>
    <t>Egyetemközi Francia Központ</t>
  </si>
  <si>
    <t>Tatai Geológus Kert</t>
  </si>
  <si>
    <t>Természetrajzi Múzeum</t>
  </si>
  <si>
    <t>Szakkollégiumok</t>
  </si>
  <si>
    <t>Innovációs Központ</t>
  </si>
  <si>
    <t>Gotthard Obszervatórium</t>
  </si>
  <si>
    <t>Szombathely funkcionális</t>
  </si>
  <si>
    <t>Rektori Kabinet</t>
  </si>
  <si>
    <t>Kancellária</t>
  </si>
  <si>
    <t>Biotechnológia</t>
  </si>
  <si>
    <t>Fogyatékossággal élő hallgatók átlaglétszáma utáni kiegészítő normatív támogatás</t>
  </si>
  <si>
    <t>Országos Sugárfigyelő, Jelző és Ellenőrző Rendszer (OSJER) (labor)</t>
  </si>
  <si>
    <t>Laboratóriumok, mérőtelep</t>
  </si>
  <si>
    <t>Szombathelyi képzések fejlesztése (50 mFt célzottan BDPK)</t>
  </si>
  <si>
    <t>Kis szakok</t>
  </si>
  <si>
    <t>Nemzetiségi képzés</t>
  </si>
  <si>
    <t>Képzési kiegészítő támogatás</t>
  </si>
  <si>
    <t>Tanulmányi rendszerek és/vagy Diplomás Pályakövető Rendszer intézményi támogatása</t>
  </si>
  <si>
    <t>Elektronikus Információ-szolgáltatás (EISZ) intézményi támogatása</t>
  </si>
  <si>
    <t>Tűz- és vagyonvédelem</t>
  </si>
  <si>
    <t>Arborétum, botanikus kert</t>
  </si>
  <si>
    <t>Pedagógus díszoklevél kiadásával kapcsolatos költségekhez hozzájárulás</t>
  </si>
  <si>
    <t>Nemzetközi feladatok</t>
  </si>
  <si>
    <t>Márton Áron Szakkollégium programok költségeihez hozzájárulás, ösztöndíjak</t>
  </si>
  <si>
    <t>Pedagógusképzés feltételeinek javítására (szakszolgálat)</t>
  </si>
  <si>
    <t>Osztatlan tanárképzés 1 éves munkadíja (Pedagógus hallgatók egy éves gyakorlatának támogatása)</t>
  </si>
  <si>
    <t>Művészeti gyakorlóhely</t>
  </si>
  <si>
    <t>Középiskolai tanulmányi versenyekre történő felkészítés támogatása</t>
  </si>
  <si>
    <t>Regionális Konfuciusz Intézet</t>
  </si>
  <si>
    <t>A Márton Áron Szakkkollégiumi hálózat működtetése (Balassi Intézet megszűnése miatt)</t>
  </si>
  <si>
    <t>Szlovén-magyar, magyar-szlovén szótár elkészítésének támogatása</t>
  </si>
  <si>
    <t>Mórahalmi Komplex Fejlesztő Centrum</t>
  </si>
  <si>
    <t xml:space="preserve">Lengyel szótár elkészítésének támogatás </t>
  </si>
  <si>
    <t>Európai Egyetemek Szövetséges</t>
  </si>
  <si>
    <t>Szerb-magyar, magyar-szerb nagyszótár
(1031/2016. (II. 9.) Korm. határozat alapján)</t>
  </si>
  <si>
    <t>Szervezetnél kezelt</t>
  </si>
  <si>
    <t>Szervezetnél kezelt oktatói béremelés nélkül</t>
  </si>
  <si>
    <t>Átfutó kiadások</t>
  </si>
  <si>
    <t>Központilag kezelt</t>
  </si>
  <si>
    <t>Anyanyelvi lektorok és tanárok</t>
  </si>
  <si>
    <t>17. melléklet</t>
  </si>
  <si>
    <t>hallgatói tételek</t>
  </si>
  <si>
    <t>Önkormányzati céltámogatás</t>
  </si>
  <si>
    <t>Mentes</t>
  </si>
  <si>
    <t>TERMMUZEUM Összeg</t>
  </si>
  <si>
    <t>R0050</t>
  </si>
  <si>
    <t>TERMMUZEUM</t>
  </si>
  <si>
    <t>S14101/16 Összeg</t>
  </si>
  <si>
    <t>ELTE Tatai Geológus Kert</t>
  </si>
  <si>
    <t>R0630</t>
  </si>
  <si>
    <t>S14101/16</t>
  </si>
  <si>
    <t>R18102/17 Összeg</t>
  </si>
  <si>
    <t>Savaria Könyvtár és Levél</t>
  </si>
  <si>
    <t>R0130</t>
  </si>
  <si>
    <t>R18102/17</t>
  </si>
  <si>
    <t>R18101/17 Összeg</t>
  </si>
  <si>
    <t>R18101/17</t>
  </si>
  <si>
    <t>R16101/16 Összeg</t>
  </si>
  <si>
    <t>Egyetemközi Francia Közpo</t>
  </si>
  <si>
    <t>S0040</t>
  </si>
  <si>
    <t>R16101/16</t>
  </si>
  <si>
    <t>R15301/16 Összeg</t>
  </si>
  <si>
    <t>Egyetemi Levéltár</t>
  </si>
  <si>
    <t>R0120</t>
  </si>
  <si>
    <t>R15301/16</t>
  </si>
  <si>
    <t>R15101/16 Összeg</t>
  </si>
  <si>
    <t>Egyetemi Könyvtár</t>
  </si>
  <si>
    <t>R0110</t>
  </si>
  <si>
    <t>R15101/16</t>
  </si>
  <si>
    <t>N13801/16 Összeg</t>
  </si>
  <si>
    <t>MÁSZ -Kunigunda úti Kollé</t>
  </si>
  <si>
    <t>N0734</t>
  </si>
  <si>
    <t>N13801/16</t>
  </si>
  <si>
    <t>N13001/16 Összeg</t>
  </si>
  <si>
    <t>KSZO - Kőrösi Csoma Sándo</t>
  </si>
  <si>
    <t>N0710</t>
  </si>
  <si>
    <t>N13001/16</t>
  </si>
  <si>
    <t>Z0050</t>
  </si>
  <si>
    <t>K09402/18</t>
  </si>
  <si>
    <t>I0000</t>
  </si>
  <si>
    <t>I11101/17</t>
  </si>
  <si>
    <t>H111KKTOK Összeg</t>
  </si>
  <si>
    <t>TÓK Könyvtár</t>
  </si>
  <si>
    <t>H0090</t>
  </si>
  <si>
    <t>H111KKTOK</t>
  </si>
  <si>
    <t>G111KKBAR Összeg</t>
  </si>
  <si>
    <t>BGGYK Könyvtár</t>
  </si>
  <si>
    <t>G0340</t>
  </si>
  <si>
    <t>G111KKBAR</t>
  </si>
  <si>
    <t>F111KKTAT Összeg</t>
  </si>
  <si>
    <t>TÁTK - Könyvtár</t>
  </si>
  <si>
    <t>F0040</t>
  </si>
  <si>
    <t>F111KKTAT</t>
  </si>
  <si>
    <t>E111KKINF Összeg</t>
  </si>
  <si>
    <t>IK Kari Könyvtár</t>
  </si>
  <si>
    <t>E0060</t>
  </si>
  <si>
    <t>E111KKINF</t>
  </si>
  <si>
    <t>D111KKTTK Összeg</t>
  </si>
  <si>
    <t>TTK Könyvtára</t>
  </si>
  <si>
    <t>D0060</t>
  </si>
  <si>
    <t>D111KKTTK</t>
  </si>
  <si>
    <t>TTK Természetrajzi Múzeum</t>
  </si>
  <si>
    <t>C111DHBTK Összeg</t>
  </si>
  <si>
    <t>BTK Dékáni Hivatal</t>
  </si>
  <si>
    <t>C0010</t>
  </si>
  <si>
    <t>C111DHBTK</t>
  </si>
  <si>
    <t>B151GHPPK</t>
  </si>
  <si>
    <t>B111KKPPK Összeg</t>
  </si>
  <si>
    <t>PPK - Könyvtár</t>
  </si>
  <si>
    <t>B0140</t>
  </si>
  <si>
    <t>B111KKPPK</t>
  </si>
  <si>
    <t>A111KKAJK Összeg</t>
  </si>
  <si>
    <t>ÁJTK Kari Könyvtár</t>
  </si>
  <si>
    <t>ÁKTH mértéke</t>
  </si>
  <si>
    <t>ÁKTH címzettje</t>
  </si>
  <si>
    <t>Funkc.ter neve</t>
  </si>
  <si>
    <t>Funkc.ter</t>
  </si>
  <si>
    <t>Pénzügyi kp.</t>
  </si>
  <si>
    <t>Gazda</t>
  </si>
  <si>
    <t>AA01</t>
  </si>
  <si>
    <t>A111</t>
  </si>
  <si>
    <t>AA01 Összeg</t>
  </si>
  <si>
    <t>AA05</t>
  </si>
  <si>
    <t>AA05 Összeg</t>
  </si>
  <si>
    <t>AB01</t>
  </si>
  <si>
    <t>B111</t>
  </si>
  <si>
    <t>B111DHPPK</t>
  </si>
  <si>
    <t>Kari Könyvtár</t>
  </si>
  <si>
    <t>AB01 Összeg</t>
  </si>
  <si>
    <t>AB05</t>
  </si>
  <si>
    <t>UKAZINCZY</t>
  </si>
  <si>
    <t>B151THPPK</t>
  </si>
  <si>
    <t>AB05 Összeg</t>
  </si>
  <si>
    <t>AC01</t>
  </si>
  <si>
    <t>C10401/16</t>
  </si>
  <si>
    <t>AC9201/04</t>
  </si>
  <si>
    <t>AC1201/12</t>
  </si>
  <si>
    <t>C111</t>
  </si>
  <si>
    <t>C111SFILO</t>
  </si>
  <si>
    <t>AC01 Összeg</t>
  </si>
  <si>
    <t>AC05</t>
  </si>
  <si>
    <t>C151THBTK</t>
  </si>
  <si>
    <t>AC05 Összeg</t>
  </si>
  <si>
    <t>AD01</t>
  </si>
  <si>
    <t>D10401/16</t>
  </si>
  <si>
    <t>D111</t>
  </si>
  <si>
    <t>D111DHTTK</t>
  </si>
  <si>
    <t>D111SFOLD</t>
  </si>
  <si>
    <t>AD01 Összeg</t>
  </si>
  <si>
    <t>AD05</t>
  </si>
  <si>
    <t>D151GHTTK</t>
  </si>
  <si>
    <t>D151THTTK</t>
  </si>
  <si>
    <t>AD05 Összeg</t>
  </si>
  <si>
    <t>AE01</t>
  </si>
  <si>
    <t>E111</t>
  </si>
  <si>
    <t>E11101/16</t>
  </si>
  <si>
    <t>E111DHINF</t>
  </si>
  <si>
    <t>IK Dékáni Hivatal</t>
  </si>
  <si>
    <t>AE01 Összeg</t>
  </si>
  <si>
    <t>AE05</t>
  </si>
  <si>
    <t>E151GHINF</t>
  </si>
  <si>
    <t>IK Gazdasági Hivatal</t>
  </si>
  <si>
    <t>AE05 Összeg</t>
  </si>
  <si>
    <t>AF01</t>
  </si>
  <si>
    <t>F111</t>
  </si>
  <si>
    <t>F111DHTAT</t>
  </si>
  <si>
    <t>AF01 Összeg</t>
  </si>
  <si>
    <t>AF05</t>
  </si>
  <si>
    <t>F151GHTAT</t>
  </si>
  <si>
    <t>F151THTAT</t>
  </si>
  <si>
    <t>AF05 Összeg</t>
  </si>
  <si>
    <t>AG01</t>
  </si>
  <si>
    <t>G111</t>
  </si>
  <si>
    <t>G111DHBAR</t>
  </si>
  <si>
    <t>BGGYK Dékáni Hivatal</t>
  </si>
  <si>
    <t>AG01 Összeg</t>
  </si>
  <si>
    <t>AG05</t>
  </si>
  <si>
    <t>G151THBAR</t>
  </si>
  <si>
    <t>BGGYK Tanulmányi Hivatal</t>
  </si>
  <si>
    <t>AG05 Összeg</t>
  </si>
  <si>
    <t>AH01</t>
  </si>
  <si>
    <t>H111</t>
  </si>
  <si>
    <t>H111DHTOK</t>
  </si>
  <si>
    <t>TÓK Dékáni Hivatal</t>
  </si>
  <si>
    <t>TÓK Kari Könyvtár</t>
  </si>
  <si>
    <t>AH01 Összeg</t>
  </si>
  <si>
    <t>AH05</t>
  </si>
  <si>
    <t>UKISSJ40</t>
  </si>
  <si>
    <t>H151GHTOK</t>
  </si>
  <si>
    <t>TÓK Gazdasági Hivatal</t>
  </si>
  <si>
    <t>H151THTOK</t>
  </si>
  <si>
    <t>TÓK Tanulmányi Hivatal</t>
  </si>
  <si>
    <t>AH05 Összeg</t>
  </si>
  <si>
    <t>ES02</t>
  </si>
  <si>
    <t>S12101/16</t>
  </si>
  <si>
    <t>ES02 Összeg</t>
  </si>
  <si>
    <t>ES03</t>
  </si>
  <si>
    <t>S13101/16</t>
  </si>
  <si>
    <t>ES03 Összeg</t>
  </si>
  <si>
    <t>ES04</t>
  </si>
  <si>
    <t>S141</t>
  </si>
  <si>
    <t>ES04 Összeg</t>
  </si>
  <si>
    <t>KK02</t>
  </si>
  <si>
    <t>UPAZMKP</t>
  </si>
  <si>
    <t>K02701/16</t>
  </si>
  <si>
    <t>KK02 Összeg</t>
  </si>
  <si>
    <t>KK04</t>
  </si>
  <si>
    <t>KK04 Összeg</t>
  </si>
  <si>
    <t>KN01</t>
  </si>
  <si>
    <t>N10201/16</t>
  </si>
  <si>
    <t>N10301/16</t>
  </si>
  <si>
    <t>N10801/16</t>
  </si>
  <si>
    <t>N10901/16</t>
  </si>
  <si>
    <t>N11001/16</t>
  </si>
  <si>
    <t>N11101/16</t>
  </si>
  <si>
    <t>KN01 Összeg</t>
  </si>
  <si>
    <t>KN02</t>
  </si>
  <si>
    <t>N12101/16</t>
  </si>
  <si>
    <t>KN02 Összeg</t>
  </si>
  <si>
    <t>KN03</t>
  </si>
  <si>
    <t>N13201/16</t>
  </si>
  <si>
    <t>N13301/16</t>
  </si>
  <si>
    <t>N13401/16</t>
  </si>
  <si>
    <t>N13601/16</t>
  </si>
  <si>
    <t>UKUNIMASZ</t>
  </si>
  <si>
    <t>UDEBRMASZ</t>
  </si>
  <si>
    <t>N14001/16</t>
  </si>
  <si>
    <t>KN03 Összeg</t>
  </si>
  <si>
    <t>KN04</t>
  </si>
  <si>
    <t>N14801/17</t>
  </si>
  <si>
    <t>N14803/17</t>
  </si>
  <si>
    <t>BDPK Igazgatói Hivatal</t>
  </si>
  <si>
    <t>N15101/17</t>
  </si>
  <si>
    <t>KN04 Összeg</t>
  </si>
  <si>
    <t>MT01</t>
  </si>
  <si>
    <t>T11101/16</t>
  </si>
  <si>
    <t>T11201/16</t>
  </si>
  <si>
    <t>T11301/16</t>
  </si>
  <si>
    <t>T11501/16</t>
  </si>
  <si>
    <t>MT01 Összeg</t>
  </si>
  <si>
    <t>MT02</t>
  </si>
  <si>
    <t>T12101/16</t>
  </si>
  <si>
    <t>T12201/16</t>
  </si>
  <si>
    <t>T12202/16</t>
  </si>
  <si>
    <t>T12301/16</t>
  </si>
  <si>
    <t>MT02 Összeg</t>
  </si>
  <si>
    <t>MT03</t>
  </si>
  <si>
    <t>T13201/16</t>
  </si>
  <si>
    <t>T13202/16</t>
  </si>
  <si>
    <t>MT03 Összeg</t>
  </si>
  <si>
    <t>MT04</t>
  </si>
  <si>
    <t>T14101/16</t>
  </si>
  <si>
    <t>T14201/16</t>
  </si>
  <si>
    <t>T14301/16</t>
  </si>
  <si>
    <t>MT04 Összeg</t>
  </si>
  <si>
    <t>MT05</t>
  </si>
  <si>
    <t>ELTE Gyakorló Óvoda</t>
  </si>
  <si>
    <t>T15101/16</t>
  </si>
  <si>
    <t>T15201/16</t>
  </si>
  <si>
    <t>MT05 Összeg</t>
  </si>
  <si>
    <t>MT06</t>
  </si>
  <si>
    <t>T16101/16</t>
  </si>
  <si>
    <t>T16201/16</t>
  </si>
  <si>
    <t>MT06 Összeg</t>
  </si>
  <si>
    <t>MT07</t>
  </si>
  <si>
    <t>T17101/16</t>
  </si>
  <si>
    <t>MT07 Összeg</t>
  </si>
  <si>
    <t>MT09</t>
  </si>
  <si>
    <t>T19101/17</t>
  </si>
  <si>
    <t>T19201/17</t>
  </si>
  <si>
    <t>T19301/17</t>
  </si>
  <si>
    <t>MT09 Összeg</t>
  </si>
  <si>
    <t>RR01</t>
  </si>
  <si>
    <t>R10101/16</t>
  </si>
  <si>
    <t>RR01 Összeg</t>
  </si>
  <si>
    <t>RR04</t>
  </si>
  <si>
    <t>R14301/16</t>
  </si>
  <si>
    <t>R144</t>
  </si>
  <si>
    <t>Eötvös József Collegium</t>
  </si>
  <si>
    <t>R14401/16</t>
  </si>
  <si>
    <t>UMEN11EJC</t>
  </si>
  <si>
    <t>RR04 Összeg</t>
  </si>
  <si>
    <t>RR05</t>
  </si>
  <si>
    <t>R151</t>
  </si>
  <si>
    <t>R153</t>
  </si>
  <si>
    <t>RR05 Összeg</t>
  </si>
  <si>
    <t>RR06</t>
  </si>
  <si>
    <t>R161</t>
  </si>
  <si>
    <t>RR06 Összeg</t>
  </si>
  <si>
    <t>SS01</t>
  </si>
  <si>
    <t>D131SBIOL</t>
  </si>
  <si>
    <t>Biológiai Tanszék</t>
  </si>
  <si>
    <t>SS01 Összeg</t>
  </si>
  <si>
    <t>Felosztás neve</t>
  </si>
  <si>
    <t>22.b) melléklet 2. munkalap - KÉPZÉSI FINANSZÍROZÁS ÁTVÉTEL KARON BELÜL KÉPZÉSI MUNKASZÁMOKRÓL - CÉLSZERVEZET SZERINTI (TEHÁT ÁTADOTT ÁTOKTATÁSSAL CSÖKKENTETT ÖSSZEG) INTÉZETI/TANSZÉKI SZINTŰ BONTÁS</t>
  </si>
  <si>
    <t>Ahol csak a kar van megjelölve célszervezetként, és nincs kar alatti szervezeti alábontás, ott a modell nem találta meg ezt a szervezetet, így csak karhoz tudta kapcsolni a bevételt. Ezek felosztása a kar döntése szerint történik kar alatti szervezetekre.</t>
  </si>
  <si>
    <t>Nem átoktatás</t>
  </si>
  <si>
    <t>CÉLKAR</t>
  </si>
  <si>
    <t>ÁJTK-AGJ</t>
  </si>
  <si>
    <t>ÁJTK-AJ</t>
  </si>
  <si>
    <t>ÁJTK-BE</t>
  </si>
  <si>
    <t>ÁJTK-BJ</t>
  </si>
  <si>
    <t>ÁJTK-DH</t>
  </si>
  <si>
    <t>ÁJTK-INYOK</t>
  </si>
  <si>
    <t>ÁJTK-JOT</t>
  </si>
  <si>
    <t>ÁJTK-JTI</t>
  </si>
  <si>
    <t>ÁJTK-KGT</t>
  </si>
  <si>
    <t>ÁJTK-KIG</t>
  </si>
  <si>
    <t>ÁJTK-KÖNYVTÁR</t>
  </si>
  <si>
    <t>ÁJTK-KR</t>
  </si>
  <si>
    <t>ÁJTK-MÁJT</t>
  </si>
  <si>
    <t>ÁJTK-MUJ</t>
  </si>
  <si>
    <t>ÁJTK-NJ</t>
  </si>
  <si>
    <t>ÁJTK-NMJ</t>
  </si>
  <si>
    <t>ÁJTK-PE</t>
  </si>
  <si>
    <t>ÁJTK-PJ</t>
  </si>
  <si>
    <t>ÁJTK-POL</t>
  </si>
  <si>
    <t>ÁJTK-PÜJ</t>
  </si>
  <si>
    <t>ÁJTK-RJOJT</t>
  </si>
  <si>
    <t>ÁJTK-TH</t>
  </si>
  <si>
    <t>Budapest Összeg</t>
  </si>
  <si>
    <t>BDPK-ANGOL-SEK</t>
  </si>
  <si>
    <t>BDPK-BIOLOGIA-SEK</t>
  </si>
  <si>
    <t>BDPK-FIZIKA-SEK</t>
  </si>
  <si>
    <t>BDPK-FOLDRAJZ-SEK</t>
  </si>
  <si>
    <t>BDPK-KEMIA-SEK</t>
  </si>
  <si>
    <t>BDPK-MAGYARIR-SEK</t>
  </si>
  <si>
    <t>BDPK-MAGYARNY-SEK</t>
  </si>
  <si>
    <t>BDPK-MATEMATIKA-SEK</t>
  </si>
  <si>
    <t>BDPK-NEMET-SEK</t>
  </si>
  <si>
    <t>BDPK-SZLAVISZTIK-SEK</t>
  </si>
  <si>
    <t>BDPK-TORTENELEM-SEK</t>
  </si>
  <si>
    <t>BDPK-VIZUALIS-SEK</t>
  </si>
  <si>
    <t>BDPK-ZENE-SEK</t>
  </si>
  <si>
    <t>Szombathely Összeg</t>
  </si>
  <si>
    <t>BDPK-SEK Összeg</t>
  </si>
  <si>
    <t>BGGYK-ALTGYP</t>
  </si>
  <si>
    <t>BGGYK-ATIVIK</t>
  </si>
  <si>
    <t>BGGYK-DH</t>
  </si>
  <si>
    <t>BGGYK-FOTRI</t>
  </si>
  <si>
    <t>BGGYK-GYMRI</t>
  </si>
  <si>
    <t>BGGYK-GYOPSZI</t>
  </si>
  <si>
    <t>BGGYK-GYTK</t>
  </si>
  <si>
    <t>BTK-1819MAIR-T05</t>
  </si>
  <si>
    <t>BTK-ALKNYELVFON-T06</t>
  </si>
  <si>
    <t>BTK-ALTFILO-T02</t>
  </si>
  <si>
    <t>BTK-ANGOL-AM-I01-ALK</t>
  </si>
  <si>
    <t>BTK-ANGOL-AM-I01-AME</t>
  </si>
  <si>
    <t>BTK-ANGOL-AM-I01-ANG</t>
  </si>
  <si>
    <t>BTK-ANGOL-AM-I01-NYP</t>
  </si>
  <si>
    <t>BTK-ANGOL-AM-I01-NYV</t>
  </si>
  <si>
    <t>BTK-AREGESZOM-T12</t>
  </si>
  <si>
    <t>BTK-ASSZIR-T11</t>
  </si>
  <si>
    <t>BTK-ATELIER-T16</t>
  </si>
  <si>
    <t>BTK-BELSOA-T15</t>
  </si>
  <si>
    <t>BTK-BUDDTIBT-T15</t>
  </si>
  <si>
    <t>BTK-EGYIPT-T11</t>
  </si>
  <si>
    <t>BTK-ELMNYELV-T02</t>
  </si>
  <si>
    <t>BTK-ESZTETIK-T07</t>
  </si>
  <si>
    <t>BTK-FILMTUD-T07</t>
  </si>
  <si>
    <t>BTK-FILOZOF-I02</t>
  </si>
  <si>
    <t>BTK-FOLKLORE-T09</t>
  </si>
  <si>
    <t>BTK-FORDTOLM-T17</t>
  </si>
  <si>
    <t>BTK-FRANCIA-T13</t>
  </si>
  <si>
    <t>BTK-GAZDTORT-T16</t>
  </si>
  <si>
    <t>BTK-GERMAN-I03</t>
  </si>
  <si>
    <t>BTK-GOROG-T11</t>
  </si>
  <si>
    <t>BTK-INDOLOG-T10</t>
  </si>
  <si>
    <t>BTK-IRANISZ-T10</t>
  </si>
  <si>
    <t>BTK-JAPAN-T15</t>
  </si>
  <si>
    <t>BTK-JELETORT-T16</t>
  </si>
  <si>
    <t>BTK-JELMTORT-T16</t>
  </si>
  <si>
    <t>BTK-KINAI-T15</t>
  </si>
  <si>
    <t>BTK-KKEUOROSZT-T16</t>
  </si>
  <si>
    <t>BTK-KONYVINF-I04</t>
  </si>
  <si>
    <t>BTK-KONYVINF-I04-INF</t>
  </si>
  <si>
    <t>BTK-KONYVTUD-T04</t>
  </si>
  <si>
    <t>BTK-KORAUJTT-T16</t>
  </si>
  <si>
    <t>BTK-KOREAI-T15</t>
  </si>
  <si>
    <t>BTK-KOZEPKTT-T16</t>
  </si>
  <si>
    <t>BTK-LATIN-T11</t>
  </si>
  <si>
    <t>BTK-LENGYEL-T14</t>
  </si>
  <si>
    <t>BTK-LOGIKA-T02</t>
  </si>
  <si>
    <t>BTK-MAGYMID-T06</t>
  </si>
  <si>
    <t>BTK-MANYETOR-T06</t>
  </si>
  <si>
    <t>BTK-MANYFI-I06</t>
  </si>
  <si>
    <t>BTK-MED-KOMM-T07</t>
  </si>
  <si>
    <t>BTK-MIKI-I05</t>
  </si>
  <si>
    <t>BTK-MMANYELV-T06</t>
  </si>
  <si>
    <t>BTK-MOMAIROD-T05</t>
  </si>
  <si>
    <t>BTK-MUVELTOR-T16</t>
  </si>
  <si>
    <t>BTK-MUVKOZV-I20</t>
  </si>
  <si>
    <t>BTK-MUV-MED-I07</t>
  </si>
  <si>
    <t>BTK-MUVTORT-I08</t>
  </si>
  <si>
    <t>BTK-NEDER-T03</t>
  </si>
  <si>
    <t>BTK-NEMETIRO-T03</t>
  </si>
  <si>
    <t>BTK-NEMETNY-T03</t>
  </si>
  <si>
    <t>BTK-NEMETSZ-T03</t>
  </si>
  <si>
    <t>BTK-NEPRAJZ-I09</t>
  </si>
  <si>
    <t>BTK-NREGESZ-T12</t>
  </si>
  <si>
    <t>BTK-NYELVKOZV-I19</t>
  </si>
  <si>
    <t>BTK-OIRODKUL-T05</t>
  </si>
  <si>
    <t>BTK-OKORI-F-T02</t>
  </si>
  <si>
    <t>BTK-OKORTORT-T16</t>
  </si>
  <si>
    <t>BTK-OKORTUD-I11</t>
  </si>
  <si>
    <t>BTK-OLASZ-T13</t>
  </si>
  <si>
    <t>BTK-OREGESZ-T12</t>
  </si>
  <si>
    <t>BTK-ORIENTAL-I10</t>
  </si>
  <si>
    <t>BTK-OROSZ-T14</t>
  </si>
  <si>
    <t>BTK-OSAREGESZ-T12</t>
  </si>
  <si>
    <t>BTK-PORTUGAL-T13</t>
  </si>
  <si>
    <t>BTK-REGESZET-I12</t>
  </si>
  <si>
    <t>BTK-RMAIROD-T05</t>
  </si>
  <si>
    <t>BTK-ROMANISZ-I13</t>
  </si>
  <si>
    <t>BTK-ROMAN-T13</t>
  </si>
  <si>
    <t>BTK-SEMIARABTK-T10</t>
  </si>
  <si>
    <t>BTK-SKANDI-T03</t>
  </si>
  <si>
    <t>BTK-SPANYOL-T13</t>
  </si>
  <si>
    <t>BTK-SZLAVB-I14</t>
  </si>
  <si>
    <t>BTK-SZLAVFIL-T14</t>
  </si>
  <si>
    <t>BTK-TANEPR-T09</t>
  </si>
  <si>
    <t>BTK-TAVOLK-I15</t>
  </si>
  <si>
    <t>BTK-TOROK-T10</t>
  </si>
  <si>
    <t>BTK-TORTENET-I16</t>
  </si>
  <si>
    <t>BTK-TORTSTUD-T16</t>
  </si>
  <si>
    <t>BTK-UJKORI-F-T02</t>
  </si>
  <si>
    <t>BTK-UKRAN-T14</t>
  </si>
  <si>
    <t>BTK-VALLAST-T11</t>
  </si>
  <si>
    <t>BTK-ZENEKULT-T20</t>
  </si>
  <si>
    <t>BTK-MUVTORT-I08-MJKM</t>
  </si>
  <si>
    <t>BTK-MUVTORT-I08-KRBM</t>
  </si>
  <si>
    <t>BTK-DIGBÖLCSKP</t>
  </si>
  <si>
    <t>BTK-GAZDHIV-31</t>
  </si>
  <si>
    <t>BTK-ZENEIINTE-T20</t>
  </si>
  <si>
    <t>GTI-ÉRVMARK</t>
  </si>
  <si>
    <t>GTI-MENÜZLJOG</t>
  </si>
  <si>
    <t>GTI-ÖGAZDTAN</t>
  </si>
  <si>
    <t>GTI-PÜSZÁMV</t>
  </si>
  <si>
    <t>IK-ADATTUD</t>
  </si>
  <si>
    <t>IK-ALALK</t>
  </si>
  <si>
    <t>IK-CLC</t>
  </si>
  <si>
    <t>IK-DH</t>
  </si>
  <si>
    <t>IK-ICS</t>
  </si>
  <si>
    <t>IK-IRT</t>
  </si>
  <si>
    <t>IK-KOMPALG</t>
  </si>
  <si>
    <t>IK-MÉDIA</t>
  </si>
  <si>
    <t>IK-MESTINT</t>
  </si>
  <si>
    <t>IK-NUMANAL</t>
  </si>
  <si>
    <t>IK-PESZT</t>
  </si>
  <si>
    <t>IK-PNYFT</t>
  </si>
  <si>
    <t>IK-SEK-MI</t>
  </si>
  <si>
    <t>IK-TÉRKÉP</t>
  </si>
  <si>
    <t>IK-EGYVÁLLINT</t>
  </si>
  <si>
    <t>IK-INFTUDINT</t>
  </si>
  <si>
    <t>PPK-DÉKÁNI</t>
  </si>
  <si>
    <t>PPK-ÉLETVEZTAN</t>
  </si>
  <si>
    <t>PPK-ESI</t>
  </si>
  <si>
    <t>PPK-FTI</t>
  </si>
  <si>
    <t>PPK-IPPI</t>
  </si>
  <si>
    <t>PPK-NI</t>
  </si>
  <si>
    <t>PPK-PI</t>
  </si>
  <si>
    <t>PPK-TH</t>
  </si>
  <si>
    <t>PPK-EKTI</t>
  </si>
  <si>
    <t>PPK-SEK-PPI</t>
  </si>
  <si>
    <t>PPK-SEK-SI</t>
  </si>
  <si>
    <t>TÁTK-EGPOL-TANSZ</t>
  </si>
  <si>
    <t>TÁTK-ELMT-TANSZ</t>
  </si>
  <si>
    <t>TÁTK-EU-TANSZ</t>
  </si>
  <si>
    <t>TÁTK-KISEBB-TANSZ</t>
  </si>
  <si>
    <t>TÁTK-KOZGAZ-TANSZ</t>
  </si>
  <si>
    <t>TÁTK-KULTANT-TANSZ</t>
  </si>
  <si>
    <t>TÁTK-MODSZER-TANSZ</t>
  </si>
  <si>
    <t>TÁTK-POL-TANSZ</t>
  </si>
  <si>
    <t>TÁTK-PSZICHO-TANSZ</t>
  </si>
  <si>
    <t>TÁTK-STAT-TANSZ</t>
  </si>
  <si>
    <t>TÁTK-SZOCIAL-INT</t>
  </si>
  <si>
    <t>TÁTK-SZOCMUNK-TANSZ</t>
  </si>
  <si>
    <t>TÁTK-SZOCPOL-TANSZ</t>
  </si>
  <si>
    <t>TÁTK-SZOC-TANSZ</t>
  </si>
  <si>
    <t>TÁTK-TÖRTSZ-TANSZ</t>
  </si>
  <si>
    <t>TÁTK-KÖZGAZ-INT</t>
  </si>
  <si>
    <t>TÁTK-GT-SEK</t>
  </si>
  <si>
    <t>TÓK-DIGIPEDTSZ</t>
  </si>
  <si>
    <t>TÓK-ÉNEKZENETSZ</t>
  </si>
  <si>
    <t>TÓK-IDNYELVITSZ</t>
  </si>
  <si>
    <t>TÓK-MAGYARTSZ</t>
  </si>
  <si>
    <t>TÓK-MATEMATIKATSZ</t>
  </si>
  <si>
    <t>TÓK-NEVTUDTSZ</t>
  </si>
  <si>
    <t>TÓK-TÁRSTUDTSZ</t>
  </si>
  <si>
    <t>TÓK-TERMTUDTSZ</t>
  </si>
  <si>
    <t>TÓK-TESTNEVTSZ</t>
  </si>
  <si>
    <t>TÓK-VIZUÁLISTSZ</t>
  </si>
  <si>
    <t>TTK-BIÁLLATRÖKOL</t>
  </si>
  <si>
    <t>TTK-BIANATSEJTFEJL</t>
  </si>
  <si>
    <t>TTK-BIBIOKÉM</t>
  </si>
  <si>
    <t>TTK-BIÉLETNEURO</t>
  </si>
  <si>
    <t>TTK-BIEMBERTAN</t>
  </si>
  <si>
    <t>TTK-BIEMBERTAN-BIO</t>
  </si>
  <si>
    <t>TTK-BIETOLÓGIA</t>
  </si>
  <si>
    <t>TTK-BIGENETIKA</t>
  </si>
  <si>
    <t>TTK-BIIMMUN</t>
  </si>
  <si>
    <t>TTK-BIMIKROBIOL</t>
  </si>
  <si>
    <t>TTK-BINÖVÉLMOLNÖVBI</t>
  </si>
  <si>
    <t>TTK-BINÖVRÖKOLELMBI</t>
  </si>
  <si>
    <t>TTK-BINÖVSZERV</t>
  </si>
  <si>
    <t>TTK-BIOLÓGIA</t>
  </si>
  <si>
    <t>TTK-FFI</t>
  </si>
  <si>
    <t>TTK-FFIÁLTALKFÖLDTAN</t>
  </si>
  <si>
    <t>TTK-FFIÁSVÁNYTAN</t>
  </si>
  <si>
    <t>TTK-FFICSILLAGÁSZ</t>
  </si>
  <si>
    <t>TTK-FFI-FÖLDTUD-KP</t>
  </si>
  <si>
    <t>TTK-FFIGEOFIZIKA</t>
  </si>
  <si>
    <t>TTK-FFIKÖRNYTAJFÖLDR</t>
  </si>
  <si>
    <t>TTK-FFIKŐZETGEOK</t>
  </si>
  <si>
    <t>TTK-FFIMETEOROLÓGIA</t>
  </si>
  <si>
    <t>TTK-FFIŐSLÉNYTAN</t>
  </si>
  <si>
    <t>TTK-FFIREGTUD</t>
  </si>
  <si>
    <t>TTK-FFITERMFÖLDR</t>
  </si>
  <si>
    <t>TTK-FFITGF</t>
  </si>
  <si>
    <t>TTK-FFIŰRKUTATÓ</t>
  </si>
  <si>
    <t>TTK-FIANYAGFIZIKA</t>
  </si>
  <si>
    <t>TTK-FIATOMFIZIKA</t>
  </si>
  <si>
    <t>TTK-FIBIOLFIZIKA</t>
  </si>
  <si>
    <t>TTK-FIELMÉLETIFIZ</t>
  </si>
  <si>
    <t>TTK-FIKOMPLRENDSZ</t>
  </si>
  <si>
    <t>TTK-FIZIKA</t>
  </si>
  <si>
    <t>TTK-KARITERMMÚZEUM</t>
  </si>
  <si>
    <t>TTK-KÉMIA</t>
  </si>
  <si>
    <t>TTK-KIANALKÉM</t>
  </si>
  <si>
    <t>TTK-KIFIZKÉM</t>
  </si>
  <si>
    <t>TTK-KISZERVESKÉM</t>
  </si>
  <si>
    <t>TTK-KISZERVETLEN</t>
  </si>
  <si>
    <t>TTK-KÖRNYTUD</t>
  </si>
  <si>
    <t>TTK-MATEMATIKA</t>
  </si>
  <si>
    <t>TTK-MIALGSZÁM</t>
  </si>
  <si>
    <t>TTK-MIALKANALSZÁMMAT</t>
  </si>
  <si>
    <t>TTK-MIANALÍZIS</t>
  </si>
  <si>
    <t>TTK-MIGEOMETRIA</t>
  </si>
  <si>
    <t>TTK-MIMATTANMÓDSZ</t>
  </si>
  <si>
    <t>TTK-MIOPKUT</t>
  </si>
  <si>
    <t>TTK-MISZÁMÍTÓGÉPTUD</t>
  </si>
  <si>
    <t>TTK-MIVALELMSTAT</t>
  </si>
  <si>
    <t>TTK-TH</t>
  </si>
  <si>
    <t>22.b) melléklet 3. munkalap - ÁTVETT ÁTOKTATÁS MÁS KARRÓL - CÉLSZERVEZET SZERINTI INTÉZETI/TANSZÉKI SZINTŰ BONTÁS</t>
  </si>
  <si>
    <t>BTK-DOKTORK-24</t>
  </si>
  <si>
    <t>22.b2</t>
  </si>
  <si>
    <t>22.b3</t>
  </si>
  <si>
    <t>Képzési támogatás felosztása általános munkaszámról intézetekre / tanszékekre</t>
  </si>
  <si>
    <t>ORGANIZATIONID</t>
  </si>
  <si>
    <t>CODE</t>
  </si>
  <si>
    <t>DESCRIPTION</t>
  </si>
  <si>
    <t>ORGANIZATIONTYPENAME</t>
  </si>
  <si>
    <t>BOSSID</t>
  </si>
  <si>
    <t>BOSSCODE</t>
  </si>
  <si>
    <t>165661923</t>
  </si>
  <si>
    <t>20086103</t>
  </si>
  <si>
    <t>ELTE</t>
  </si>
  <si>
    <t>1</t>
  </si>
  <si>
    <t>165661977</t>
  </si>
  <si>
    <t>ÁJTK Agrárjogi Tanszék</t>
  </si>
  <si>
    <t>Tanszék (önálló)</t>
  </si>
  <si>
    <t>2</t>
  </si>
  <si>
    <t>165661957</t>
  </si>
  <si>
    <t>ÁJTK Alkotmányjogi Tanszék</t>
  </si>
  <si>
    <t>3</t>
  </si>
  <si>
    <t>165661960</t>
  </si>
  <si>
    <t>ÁJTK Büntető Eljárásjogi és Büntetés-végrehajtási Jogi Tanszék</t>
  </si>
  <si>
    <t>4</t>
  </si>
  <si>
    <t>165661961</t>
  </si>
  <si>
    <t>ÁJTK Büntetőjogi Tanszék</t>
  </si>
  <si>
    <t>5</t>
  </si>
  <si>
    <t>165662248</t>
  </si>
  <si>
    <t>ÁJTK Dékáni Hivatal</t>
  </si>
  <si>
    <t>Egyéb szervezeti egység</t>
  </si>
  <si>
    <t>6</t>
  </si>
  <si>
    <t>165662251</t>
  </si>
  <si>
    <t>ÁJTK-GH</t>
  </si>
  <si>
    <t>ÁJTK Gazdasági Hivatal</t>
  </si>
  <si>
    <t>7</t>
  </si>
  <si>
    <t>165661964</t>
  </si>
  <si>
    <t>ÁJTK Idegennyelvi Oktatásszervezési Központ</t>
  </si>
  <si>
    <t>Központ (oktatási)</t>
  </si>
  <si>
    <t>8</t>
  </si>
  <si>
    <t>425609757</t>
  </si>
  <si>
    <t>ÁJTK Jog- és Társadalomelméleti Tanszék</t>
  </si>
  <si>
    <t>9</t>
  </si>
  <si>
    <t>165662528</t>
  </si>
  <si>
    <t>ÁJTK Jogi Továbbképző Intézet</t>
  </si>
  <si>
    <t>Intézet</t>
  </si>
  <si>
    <t>10</t>
  </si>
  <si>
    <t>165661966</t>
  </si>
  <si>
    <t>ÁJTK Közgazdaságtan és Statisztika Tanszék</t>
  </si>
  <si>
    <t>11</t>
  </si>
  <si>
    <t>165661959</t>
  </si>
  <si>
    <t>ÁJTK Közigazgatási Jogi Tanszék</t>
  </si>
  <si>
    <t>12</t>
  </si>
  <si>
    <t>165662556</t>
  </si>
  <si>
    <t>ÁJTK-KÖJT-KP</t>
  </si>
  <si>
    <t>ÁJTK Kuncz Ödön Jogi Tudásközpont</t>
  </si>
  <si>
    <t>13</t>
  </si>
  <si>
    <t>165662253</t>
  </si>
  <si>
    <t>14</t>
  </si>
  <si>
    <t>165661967</t>
  </si>
  <si>
    <t>ÁJTK Kriminológiai Tanszék</t>
  </si>
  <si>
    <t>15</t>
  </si>
  <si>
    <t>165661968</t>
  </si>
  <si>
    <t>ÁJTK Magyar Állam- és Jogtörténeti Tanszék</t>
  </si>
  <si>
    <t>16</t>
  </si>
  <si>
    <t>165661969</t>
  </si>
  <si>
    <t>ÁJTK Munkajogi és Szociális Jogi Tanszék</t>
  </si>
  <si>
    <t>17</t>
  </si>
  <si>
    <t>165661970</t>
  </si>
  <si>
    <t>ÁJTK Nemzetközi Jogi Tanszék</t>
  </si>
  <si>
    <t>18</t>
  </si>
  <si>
    <t>165661971</t>
  </si>
  <si>
    <t>ÁJTK Nemzetközi Magánjogi és Európai Gazdasági Jogi Tanszék</t>
  </si>
  <si>
    <t>19</t>
  </si>
  <si>
    <t>165661973</t>
  </si>
  <si>
    <t>ÁJTK Polgári Eljárásjogi Tanszék</t>
  </si>
  <si>
    <t>20</t>
  </si>
  <si>
    <t>165661974</t>
  </si>
  <si>
    <t>ÁJTK Polgári Jogi Tanszék</t>
  </si>
  <si>
    <t>21</t>
  </si>
  <si>
    <t>165661975</t>
  </si>
  <si>
    <t>ÁJTK Politikatudományi Intézet</t>
  </si>
  <si>
    <t>22</t>
  </si>
  <si>
    <t>165661972</t>
  </si>
  <si>
    <t>ÁJTK Pénzügyi Jogi Tanszék</t>
  </si>
  <si>
    <t>23</t>
  </si>
  <si>
    <t>425610606</t>
  </si>
  <si>
    <t>ÁJTK Római Jogi és Összehasonlító Jogtörténeti Tanszék</t>
  </si>
  <si>
    <t>24</t>
  </si>
  <si>
    <t>165662249</t>
  </si>
  <si>
    <t>ÁJTK Tanulmányi Hivatal</t>
  </si>
  <si>
    <t>25</t>
  </si>
  <si>
    <t>165662097</t>
  </si>
  <si>
    <t>APÁCZAI</t>
  </si>
  <si>
    <t>ELTE Apáczai Csere János Gyakorló Gimnázium és Kollégium</t>
  </si>
  <si>
    <t>26</t>
  </si>
  <si>
    <t>165662105</t>
  </si>
  <si>
    <t>BÁRCZI-GYAKISK</t>
  </si>
  <si>
    <t>ELTE Bárczi Gusztáv Gyakorló Általános Iskola</t>
  </si>
  <si>
    <t>27</t>
  </si>
  <si>
    <t>801461467</t>
  </si>
  <si>
    <t>BDPK Angol Nyelv és Irodalom Tanszék</t>
  </si>
  <si>
    <t>944010222</t>
  </si>
  <si>
    <t>28</t>
  </si>
  <si>
    <t>801460199</t>
  </si>
  <si>
    <t>BDPK Biológiai Tanszék</t>
  </si>
  <si>
    <t>29</t>
  </si>
  <si>
    <t>801460328</t>
  </si>
  <si>
    <t>BDPK Fizikai Tanszék</t>
  </si>
  <si>
    <t>30</t>
  </si>
  <si>
    <t>801460384</t>
  </si>
  <si>
    <t>BDPK Földrajzi Tanszék</t>
  </si>
  <si>
    <t>31</t>
  </si>
  <si>
    <t>801464204</t>
  </si>
  <si>
    <t>BDPK Kémiai Tanszék</t>
  </si>
  <si>
    <t>32</t>
  </si>
  <si>
    <t>801461640</t>
  </si>
  <si>
    <t>BDPK Magyar Irodalomtudományi Tanszék</t>
  </si>
  <si>
    <t>33</t>
  </si>
  <si>
    <t>801461702</t>
  </si>
  <si>
    <t>BDPK Magyar Nyelvtudományi Tanszék</t>
  </si>
  <si>
    <t>34</t>
  </si>
  <si>
    <t>801460457</t>
  </si>
  <si>
    <t>BDPK Matematikai Tanszék</t>
  </si>
  <si>
    <t>35</t>
  </si>
  <si>
    <t>801461573</t>
  </si>
  <si>
    <t>BDPK Német Nyelv és Irodalom Tanszék</t>
  </si>
  <si>
    <t>36</t>
  </si>
  <si>
    <t>Berzsenyi Dániel Pedagógusképző Központ</t>
  </si>
  <si>
    <t>37</t>
  </si>
  <si>
    <t>972110287</t>
  </si>
  <si>
    <t>BDPK-SEK-IH</t>
  </si>
  <si>
    <t>BDPK-SEK Igazgatói Hivatal</t>
  </si>
  <si>
    <t>38</t>
  </si>
  <si>
    <t>761043105</t>
  </si>
  <si>
    <t>BDPK-SEK-TH</t>
  </si>
  <si>
    <t>BDPK-SEK Tanulmányi Hivatal</t>
  </si>
  <si>
    <t>39</t>
  </si>
  <si>
    <t>801461962</t>
  </si>
  <si>
    <t>BDPK Szlavisztika Tanszék</t>
  </si>
  <si>
    <t>40</t>
  </si>
  <si>
    <t>801462118</t>
  </si>
  <si>
    <t>BDPK Történelem Tanszék</t>
  </si>
  <si>
    <t>41</t>
  </si>
  <si>
    <t>801461820</t>
  </si>
  <si>
    <t>BDPK Vizuális Művészeti Tanszék</t>
  </si>
  <si>
    <t>42</t>
  </si>
  <si>
    <t>801462354</t>
  </si>
  <si>
    <t>BDPK Zenepedagógiai Tanszék</t>
  </si>
  <si>
    <t>43</t>
  </si>
  <si>
    <t>165661946</t>
  </si>
  <si>
    <t>44</t>
  </si>
  <si>
    <t>581534710</t>
  </si>
  <si>
    <t>BGGYK Általános Gyógypedagógiai Intézet</t>
  </si>
  <si>
    <t>45</t>
  </si>
  <si>
    <t>581535034</t>
  </si>
  <si>
    <t>BGGYK Atipikus Viselkedés és Kogníció Gyógypedagógiai Intézet</t>
  </si>
  <si>
    <t>46</t>
  </si>
  <si>
    <t>165662273</t>
  </si>
  <si>
    <t>47</t>
  </si>
  <si>
    <t>581535140</t>
  </si>
  <si>
    <t>BGGYK Fogyatékosság és Társadalmi Részvétel Intézet</t>
  </si>
  <si>
    <t>48</t>
  </si>
  <si>
    <t>165662277</t>
  </si>
  <si>
    <t>BGGYK-GH</t>
  </si>
  <si>
    <t>BGGYK Gazdasági Hivatal</t>
  </si>
  <si>
    <t>49</t>
  </si>
  <si>
    <t>581535298</t>
  </si>
  <si>
    <t>BGGYK Gyógypedagógiai Módszertani és Rehabilitációs Intézet</t>
  </si>
  <si>
    <t>50</t>
  </si>
  <si>
    <t>165662175</t>
  </si>
  <si>
    <t>BGGYK Gyógypedagógiai Pszichológiai Intézet</t>
  </si>
  <si>
    <t>51</t>
  </si>
  <si>
    <t>165662301</t>
  </si>
  <si>
    <t>BGGYK Gyógypedagógiai Továbbképző Központ</t>
  </si>
  <si>
    <t>52</t>
  </si>
  <si>
    <t>165662180</t>
  </si>
  <si>
    <t>BGGYK-ISK</t>
  </si>
  <si>
    <t>BGGYK Illyés Sándor Kutatóközpont</t>
  </si>
  <si>
    <t>53</t>
  </si>
  <si>
    <t>581536248</t>
  </si>
  <si>
    <t>BGGYK-KKGY</t>
  </si>
  <si>
    <t>BGGYK Kari Könyvtár és Gyógypedagógia-történeti Gyűjtemény</t>
  </si>
  <si>
    <t>54</t>
  </si>
  <si>
    <t>581536339</t>
  </si>
  <si>
    <t>BGGYK-SZSZK</t>
  </si>
  <si>
    <t>BGGYK Szakmai Szolgáltató Központ</t>
  </si>
  <si>
    <t>55</t>
  </si>
  <si>
    <t>677379756</t>
  </si>
  <si>
    <t>BGGYK-TH</t>
  </si>
  <si>
    <t>56</t>
  </si>
  <si>
    <t>165662122</t>
  </si>
  <si>
    <t>BISZK</t>
  </si>
  <si>
    <t>Bibó István Szakkollégium</t>
  </si>
  <si>
    <t>Kollégium</t>
  </si>
  <si>
    <t>57</t>
  </si>
  <si>
    <t>165662124</t>
  </si>
  <si>
    <t>BSZK</t>
  </si>
  <si>
    <t>Bolyai Szakkollégium</t>
  </si>
  <si>
    <t>58</t>
  </si>
  <si>
    <t>165661926</t>
  </si>
  <si>
    <t>59</t>
  </si>
  <si>
    <t>991254060</t>
  </si>
  <si>
    <t>BTK Alkalmazott Nyelvészeti és Fonetikai Tanszék</t>
  </si>
  <si>
    <t>Intézeti tanszék</t>
  </si>
  <si>
    <t>165662003</t>
  </si>
  <si>
    <t>60</t>
  </si>
  <si>
    <t>165662332</t>
  </si>
  <si>
    <t>BTK Általános Filozófia Tanszék</t>
  </si>
  <si>
    <t>165661985</t>
  </si>
  <si>
    <t>61</t>
  </si>
  <si>
    <t>165661982</t>
  </si>
  <si>
    <t>BTK-ANGOL-AM-I01</t>
  </si>
  <si>
    <t>BTK Angol-Amerikai Intézet</t>
  </si>
  <si>
    <t>62</t>
  </si>
  <si>
    <t>165661981</t>
  </si>
  <si>
    <t>BTK Angol Alkalmazott Nyelvészeti Tanszék</t>
  </si>
  <si>
    <t>63</t>
  </si>
  <si>
    <t>165661979</t>
  </si>
  <si>
    <t>BTK Amerikanisztika Tanszék</t>
  </si>
  <si>
    <t>64</t>
  </si>
  <si>
    <t>165661980</t>
  </si>
  <si>
    <t>BTK Anglisztika Tanszék</t>
  </si>
  <si>
    <t>65</t>
  </si>
  <si>
    <t>165661984</t>
  </si>
  <si>
    <t>BTK Angol Nyelvpedagógia Tanszék</t>
  </si>
  <si>
    <t>66</t>
  </si>
  <si>
    <t>165661983</t>
  </si>
  <si>
    <t>BTK Angol Nyelvészet Tanszék</t>
  </si>
  <si>
    <t>67</t>
  </si>
  <si>
    <t>165662338</t>
  </si>
  <si>
    <t>BTK Archeometria, Régészeti Örökség és Módszertan Tanszék</t>
  </si>
  <si>
    <t>165662021</t>
  </si>
  <si>
    <t>68</t>
  </si>
  <si>
    <t>165662073</t>
  </si>
  <si>
    <t>BTK Assziriológiai és Hebraisztikai Tanszék</t>
  </si>
  <si>
    <t>165662071</t>
  </si>
  <si>
    <t>69</t>
  </si>
  <si>
    <t>165662334</t>
  </si>
  <si>
    <t>BTK Atelier Interdiszciplináris Történeti Tanszék</t>
  </si>
  <si>
    <t>165662039</t>
  </si>
  <si>
    <t>70</t>
  </si>
  <si>
    <t>165662010</t>
  </si>
  <si>
    <t>BTK Mongol és Belső-ázsiai Tanszék</t>
  </si>
  <si>
    <t>165662218</t>
  </si>
  <si>
    <t>71</t>
  </si>
  <si>
    <t>676009413</t>
  </si>
  <si>
    <t>BTK-BUDDHIZ-T15</t>
  </si>
  <si>
    <t>BTK Buddhizmus-kutatás Központja (Budapest Center for Buddhist Studies)</t>
  </si>
  <si>
    <t>72</t>
  </si>
  <si>
    <t>947540460</t>
  </si>
  <si>
    <t>BTK Buddhológia és Tibetisztika Tanszék</t>
  </si>
  <si>
    <t>73</t>
  </si>
  <si>
    <t>165662256</t>
  </si>
  <si>
    <t>BTK-DÉKÁNHIV</t>
  </si>
  <si>
    <t>74</t>
  </si>
  <si>
    <t>1057036763</t>
  </si>
  <si>
    <t>BTK Digitális Bölcsészet Központ</t>
  </si>
  <si>
    <t>75</t>
  </si>
  <si>
    <t>165662612</t>
  </si>
  <si>
    <t>BTK Doktori Kiválósági Központ</t>
  </si>
  <si>
    <t>76</t>
  </si>
  <si>
    <t>165662075</t>
  </si>
  <si>
    <t>BTK Egyiptológiai Tanszék</t>
  </si>
  <si>
    <t>77</t>
  </si>
  <si>
    <t>165662090</t>
  </si>
  <si>
    <t>BTK Elméleti Nyelvészeti Központ</t>
  </si>
  <si>
    <t>78</t>
  </si>
  <si>
    <t>165662565</t>
  </si>
  <si>
    <t>BTK Esztétika Tanszék</t>
  </si>
  <si>
    <t>165662051</t>
  </si>
  <si>
    <t>79</t>
  </si>
  <si>
    <t>165662618</t>
  </si>
  <si>
    <t>BTK-FILMMEDL-K07</t>
  </si>
  <si>
    <t>BTK Film- és Médialaboratórium</t>
  </si>
  <si>
    <t>80</t>
  </si>
  <si>
    <t>165662566</t>
  </si>
  <si>
    <t>BTK Filmtudomány Tanszék</t>
  </si>
  <si>
    <t>81</t>
  </si>
  <si>
    <t>BTK Filozófia Intézet</t>
  </si>
  <si>
    <t>82</t>
  </si>
  <si>
    <t>165662004</t>
  </si>
  <si>
    <t>BTK-FINNUGOR-T06</t>
  </si>
  <si>
    <t>BTK Finnugor Tanszék</t>
  </si>
  <si>
    <t>83</t>
  </si>
  <si>
    <t>165662060</t>
  </si>
  <si>
    <t>BTK Folklore Tanszék</t>
  </si>
  <si>
    <t>165662058</t>
  </si>
  <si>
    <t>84</t>
  </si>
  <si>
    <t>165662096</t>
  </si>
  <si>
    <t>BTK Fordító- és Tolmácsképző Tanszék</t>
  </si>
  <si>
    <t>969005186</t>
  </si>
  <si>
    <t>85</t>
  </si>
  <si>
    <t>165662080</t>
  </si>
  <si>
    <t>BTK Francia Nyelvi és Irodalmi Tanszék</t>
  </si>
  <si>
    <t>165662079</t>
  </si>
  <si>
    <t>86</t>
  </si>
  <si>
    <t>165662263</t>
  </si>
  <si>
    <t>BTK Gazdasági Hivatal</t>
  </si>
  <si>
    <t>87</t>
  </si>
  <si>
    <t>165662040</t>
  </si>
  <si>
    <t>BTK Gazdaság- és Társadalomtörténeti Tanszék</t>
  </si>
  <si>
    <t>88</t>
  </si>
  <si>
    <t>165661990</t>
  </si>
  <si>
    <t>BTK Germanisztikai Intézet</t>
  </si>
  <si>
    <t>89</t>
  </si>
  <si>
    <t>165662076</t>
  </si>
  <si>
    <t>BTK Görög Tanszék</t>
  </si>
  <si>
    <t>90</t>
  </si>
  <si>
    <t>165662077</t>
  </si>
  <si>
    <t>BTK Indológia Tanszék</t>
  </si>
  <si>
    <t>165662008</t>
  </si>
  <si>
    <t>91</t>
  </si>
  <si>
    <t>165662014</t>
  </si>
  <si>
    <t>BTK Iranisztikai Tanszék</t>
  </si>
  <si>
    <t>92</t>
  </si>
  <si>
    <t>165662337</t>
  </si>
  <si>
    <t>BTK Japán Tanszék</t>
  </si>
  <si>
    <t>Csoport (okatási)</t>
  </si>
  <si>
    <t>93</t>
  </si>
  <si>
    <t>165662048</t>
  </si>
  <si>
    <t>BTK Új- és Jelenkori Egyetemes Történeti Tanszék</t>
  </si>
  <si>
    <t>94</t>
  </si>
  <si>
    <t>165662049</t>
  </si>
  <si>
    <t>BTK Új- és Jelenkori Magyar Történeti Tanszék</t>
  </si>
  <si>
    <t>95</t>
  </si>
  <si>
    <t>165662011</t>
  </si>
  <si>
    <t>BTK Kínai Tanszék</t>
  </si>
  <si>
    <t>96</t>
  </si>
  <si>
    <t>947936189</t>
  </si>
  <si>
    <t>BTK Kelet-, Közép-Európa Története és Történeti Ruszisztikai Tanszék</t>
  </si>
  <si>
    <t>97</t>
  </si>
  <si>
    <t>165662344</t>
  </si>
  <si>
    <t>BTK Könyvtár- és Információtudományi Intézet</t>
  </si>
  <si>
    <t>98</t>
  </si>
  <si>
    <t>165662345</t>
  </si>
  <si>
    <t>BTK Információtudományi Tanszék</t>
  </si>
  <si>
    <t>99</t>
  </si>
  <si>
    <t>165662099</t>
  </si>
  <si>
    <t>BTK Könyvtártudományi Tanszék</t>
  </si>
  <si>
    <t>100</t>
  </si>
  <si>
    <t>165662043</t>
  </si>
  <si>
    <t>BTK Kora Újkori Történeti Tanszék</t>
  </si>
  <si>
    <t>101</t>
  </si>
  <si>
    <t>165662557</t>
  </si>
  <si>
    <t>BTK Koreai Tanszék</t>
  </si>
  <si>
    <t>102</t>
  </si>
  <si>
    <t>165662042</t>
  </si>
  <si>
    <t>BTK Középkori Történeti Tanszék</t>
  </si>
  <si>
    <t>103</t>
  </si>
  <si>
    <t>165662260</t>
  </si>
  <si>
    <t>BTK-KÖNYVTÁR</t>
  </si>
  <si>
    <t>BTK Kari Könyvtár</t>
  </si>
  <si>
    <t>104</t>
  </si>
  <si>
    <t>1057044371</t>
  </si>
  <si>
    <t>BTK-KÖNYVTÁR-ANGGERM</t>
  </si>
  <si>
    <t>BTK Kari Könyvtár Angol-Amerikai és Germanisztikai Szakkönyvtár</t>
  </si>
  <si>
    <t>105</t>
  </si>
  <si>
    <t>1057041068</t>
  </si>
  <si>
    <t>BTK-KÖNYVTÁR-KP</t>
  </si>
  <si>
    <t>BTK Kari Könyvtár Központi Könyvtár</t>
  </si>
  <si>
    <t>106</t>
  </si>
  <si>
    <t>1057051175</t>
  </si>
  <si>
    <t>BTK-KÖNYVTÁR-MAGYFIL</t>
  </si>
  <si>
    <t>BTK Kari Könyvtár Magyar Nyelv- és Irodalomtudományi, Filozófiai Szakkönyvtár</t>
  </si>
  <si>
    <t>107</t>
  </si>
  <si>
    <t>1057048507</t>
  </si>
  <si>
    <t>BTK-KÖNYVTÁR-ORIENT</t>
  </si>
  <si>
    <t>BTK Kari Könyvtár Távol-keleti és Orientalisztikai Szakkönyvtár</t>
  </si>
  <si>
    <t>108</t>
  </si>
  <si>
    <t>1057047674</t>
  </si>
  <si>
    <t>BTK-KÖNYVTÁR-RÉGÓKOR</t>
  </si>
  <si>
    <t>BTK Kari Könyvtár Régészettudományi és Ókortudományi Szakkönyvtár</t>
  </si>
  <si>
    <t>109</t>
  </si>
  <si>
    <t>1057044598</t>
  </si>
  <si>
    <t>BTK-KÖNYVTÁR-ROMSLAV</t>
  </si>
  <si>
    <t>BTK Kari Könyvtár Romanisztikai, Szláv és Balti Filológiai Szakkönyvtár</t>
  </si>
  <si>
    <t>110</t>
  </si>
  <si>
    <t>1057042441</t>
  </si>
  <si>
    <t>BTK-KÖNYVTÁR-TÖRT</t>
  </si>
  <si>
    <t>BTK Kari Könyvtár Történeti, Művészettörténeti és Néprajzi Szakkönyvtár</t>
  </si>
  <si>
    <t>111</t>
  </si>
  <si>
    <t>165662078</t>
  </si>
  <si>
    <t>BTK Latin Tanszék</t>
  </si>
  <si>
    <t>112</t>
  </si>
  <si>
    <t>165662027</t>
  </si>
  <si>
    <t>BTK Lengyel Filológiai Tanszék</t>
  </si>
  <si>
    <t>165662025</t>
  </si>
  <si>
    <t>113</t>
  </si>
  <si>
    <t>165661986</t>
  </si>
  <si>
    <t>BTK Logika Tanszék</t>
  </si>
  <si>
    <t>114</t>
  </si>
  <si>
    <t>165662617</t>
  </si>
  <si>
    <t>BTK Magyar mint Idegen Nyelv Tanszék</t>
  </si>
  <si>
    <t>115</t>
  </si>
  <si>
    <t>165662009</t>
  </si>
  <si>
    <t>BTK Magyar Nyelvtörténeti, Szociolingvisztikai, Dialektológiai Tanszék</t>
  </si>
  <si>
    <t>116</t>
  </si>
  <si>
    <t>BTK Magyar Nyelvtudományi és Finnugor Intézet</t>
  </si>
  <si>
    <t>117</t>
  </si>
  <si>
    <t>165662567</t>
  </si>
  <si>
    <t>BTK Média és Kommunikáció Tanszék</t>
  </si>
  <si>
    <t>118</t>
  </si>
  <si>
    <t>165661997</t>
  </si>
  <si>
    <t>BTK Magyar Irodalom- és Kultúratudományi Intézet</t>
  </si>
  <si>
    <t>119</t>
  </si>
  <si>
    <t>165662006</t>
  </si>
  <si>
    <t>BTK Mai Magyar Nyelvi Tanszék</t>
  </si>
  <si>
    <t>120</t>
  </si>
  <si>
    <t>165661998</t>
  </si>
  <si>
    <t>BTK Modern Magyar Irodalomtörténeti Tanszék</t>
  </si>
  <si>
    <t>121</t>
  </si>
  <si>
    <t>687855176</t>
  </si>
  <si>
    <t>BTK-MONGOLISZT-T15</t>
  </si>
  <si>
    <t>BTK Mongolisztikai Központ (Research Centre for Mongol Studies)</t>
  </si>
  <si>
    <t>122</t>
  </si>
  <si>
    <t>165662044</t>
  </si>
  <si>
    <t>BTK Művelődéstörténeti Tanszék</t>
  </si>
  <si>
    <t>123</t>
  </si>
  <si>
    <t>165662227</t>
  </si>
  <si>
    <t>BTK Művészetközvetítő és Zenei Intézet</t>
  </si>
  <si>
    <t>124</t>
  </si>
  <si>
    <t>BTK Művészetelméleti és Médiakutatási Intézet</t>
  </si>
  <si>
    <t>125</t>
  </si>
  <si>
    <t>165662053</t>
  </si>
  <si>
    <t>BTK Művészettörténeti Intézet</t>
  </si>
  <si>
    <t>126</t>
  </si>
  <si>
    <t>1084415776</t>
  </si>
  <si>
    <t>BTK Középkori, Reneszánsz és Barokk Művészettörténeti Tanszék</t>
  </si>
  <si>
    <t>127</t>
  </si>
  <si>
    <t>1084415954</t>
  </si>
  <si>
    <t>BTK Modern és Jelenkori Művészettörténeti Tanszék</t>
  </si>
  <si>
    <t>128</t>
  </si>
  <si>
    <t>165661994</t>
  </si>
  <si>
    <t>BTK Néderlandisztikai Tanszék</t>
  </si>
  <si>
    <t>129</t>
  </si>
  <si>
    <t>165661992</t>
  </si>
  <si>
    <t>BTK Német Nyelvű Irodalmak Tanszéke</t>
  </si>
  <si>
    <t>130</t>
  </si>
  <si>
    <t>165661991</t>
  </si>
  <si>
    <t>BTK Német Nyelvészeti Tanszék</t>
  </si>
  <si>
    <t>131</t>
  </si>
  <si>
    <t>165661995</t>
  </si>
  <si>
    <t>BTK Német Nyelvoktató és Szakdidaktikai Tanszék</t>
  </si>
  <si>
    <t>132</t>
  </si>
  <si>
    <t>BTK Néprajzi Intézet</t>
  </si>
  <si>
    <t>133</t>
  </si>
  <si>
    <t>165662022</t>
  </si>
  <si>
    <t>BTK Népvándorlás kori és Középkori Régészeti Tanszék</t>
  </si>
  <si>
    <t>134</t>
  </si>
  <si>
    <t>BTK Nyelvi Közvetítés Intézete</t>
  </si>
  <si>
    <t>135</t>
  </si>
  <si>
    <t>165661999</t>
  </si>
  <si>
    <t>BTK Összehasonlító Irodalom- és Kultúratudományi Tanszék</t>
  </si>
  <si>
    <t>136</t>
  </si>
  <si>
    <t>165661987</t>
  </si>
  <si>
    <t>BTK Ókori és Középkori Filozófia Tanszék</t>
  </si>
  <si>
    <t>137</t>
  </si>
  <si>
    <t>165662045</t>
  </si>
  <si>
    <t>BTK Ókortörténeti Tanszék</t>
  </si>
  <si>
    <t>138</t>
  </si>
  <si>
    <t>BTK Ókortudományi Intézet</t>
  </si>
  <si>
    <t>139</t>
  </si>
  <si>
    <t>165662081</t>
  </si>
  <si>
    <t>BTK Olasz Nyelvi és Irodalmi Tanszék</t>
  </si>
  <si>
    <t>140</t>
  </si>
  <si>
    <t>165662023</t>
  </si>
  <si>
    <t>BTK Ókori Régészeti Tanszék</t>
  </si>
  <si>
    <t>141</t>
  </si>
  <si>
    <t>BTK Orientalisztikai Intézet</t>
  </si>
  <si>
    <t>142</t>
  </si>
  <si>
    <t>165662026</t>
  </si>
  <si>
    <t>BTK Orosz Nyelvi és Irodalmi Tanszék</t>
  </si>
  <si>
    <t>143</t>
  </si>
  <si>
    <t>165662024</t>
  </si>
  <si>
    <t>BTK Őskori és Elő-Ázsiai Régészeti Tanszék</t>
  </si>
  <si>
    <t>144</t>
  </si>
  <si>
    <t>165662082</t>
  </si>
  <si>
    <t>BTK Portugál Nyelvi és Irodalmi Tanszék</t>
  </si>
  <si>
    <t>145</t>
  </si>
  <si>
    <t>BTK Régészettudományi Intézet</t>
  </si>
  <si>
    <t>146</t>
  </si>
  <si>
    <t>165662000</t>
  </si>
  <si>
    <t>BTK Régi Magyar Irodalom Tanszék</t>
  </si>
  <si>
    <t>147</t>
  </si>
  <si>
    <t>BTK Romanisztikai Intézet</t>
  </si>
  <si>
    <t>148</t>
  </si>
  <si>
    <t>165662083</t>
  </si>
  <si>
    <t>BTK Román Filológiai Tanszék</t>
  </si>
  <si>
    <t>149</t>
  </si>
  <si>
    <t>165662614</t>
  </si>
  <si>
    <t>BTK-RUSZISZ-21</t>
  </si>
  <si>
    <t>BTK Ruszisztikai Kutatási és Módszertani Központ</t>
  </si>
  <si>
    <t>150</t>
  </si>
  <si>
    <t>165662012</t>
  </si>
  <si>
    <t>BTK Sémi Filológiai és Arab Tanszék</t>
  </si>
  <si>
    <t>151</t>
  </si>
  <si>
    <t>165661993</t>
  </si>
  <si>
    <t>BTK Skandináv Nyelvek és Irodalmak Tanszéke</t>
  </si>
  <si>
    <t>152</t>
  </si>
  <si>
    <t>165662086</t>
  </si>
  <si>
    <t>BTK Spanyol Nyelvi és Irodalmi Tanszék</t>
  </si>
  <si>
    <t>153</t>
  </si>
  <si>
    <t>165662552</t>
  </si>
  <si>
    <t>BTK-SZAKMOD-22</t>
  </si>
  <si>
    <t>BTK Szakmódszertani Központ</t>
  </si>
  <si>
    <t>154</t>
  </si>
  <si>
    <t>BTK Szláv és Balti Filológiai Intézet</t>
  </si>
  <si>
    <t>155</t>
  </si>
  <si>
    <t>165662028</t>
  </si>
  <si>
    <t>BTK Szláv Filológiai Tanszék</t>
  </si>
  <si>
    <t>156</t>
  </si>
  <si>
    <t>165662065</t>
  </si>
  <si>
    <t>BTK Tárgyi Néprajzi Tanszék</t>
  </si>
  <si>
    <t>157</t>
  </si>
  <si>
    <t>165662255</t>
  </si>
  <si>
    <t>BTK-TANHIV-33</t>
  </si>
  <si>
    <t>BTK Tanulmányi Hivatal</t>
  </si>
  <si>
    <t>158</t>
  </si>
  <si>
    <t>BTK Távol-keleti Intézet</t>
  </si>
  <si>
    <t>159</t>
  </si>
  <si>
    <t>165662013</t>
  </si>
  <si>
    <t>BTK Török Filológiai Tanszék</t>
  </si>
  <si>
    <t>160</t>
  </si>
  <si>
    <t>BTK Történeti Intézet</t>
  </si>
  <si>
    <t>161</t>
  </si>
  <si>
    <t>1084412007</t>
  </si>
  <si>
    <t>BTK-TORTENET-I16-DIG</t>
  </si>
  <si>
    <t>BTK Digitális Bölcsészet Tanszék</t>
  </si>
  <si>
    <t>162</t>
  </si>
  <si>
    <t>165662047</t>
  </si>
  <si>
    <t>BTK Történelem Segédtudományai Tanszék</t>
  </si>
  <si>
    <t>163</t>
  </si>
  <si>
    <t>165661989</t>
  </si>
  <si>
    <t>BTK Újkori és Jelenkori Filozófia Tanszék</t>
  </si>
  <si>
    <t>164</t>
  </si>
  <si>
    <t>165662029</t>
  </si>
  <si>
    <t>BTK Ukrán Filológiai Tanszék</t>
  </si>
  <si>
    <t>165</t>
  </si>
  <si>
    <t>834122698</t>
  </si>
  <si>
    <t>BTK Vallástudományi Tanszék</t>
  </si>
  <si>
    <t>166</t>
  </si>
  <si>
    <t>165662615</t>
  </si>
  <si>
    <t>BTK-VALLAST-25</t>
  </si>
  <si>
    <t>BTK Vallástudományi Központ (Centre for the Study of Religion)</t>
  </si>
  <si>
    <t>167</t>
  </si>
  <si>
    <t>969004877</t>
  </si>
  <si>
    <t>BTK Zenei Interpretáció Tanszék</t>
  </si>
  <si>
    <t>168</t>
  </si>
  <si>
    <t>969005024</t>
  </si>
  <si>
    <t>BTK Zenekultúra Tanszék</t>
  </si>
  <si>
    <t>169</t>
  </si>
  <si>
    <t>165662001</t>
  </si>
  <si>
    <t>BTK XVIII-XIX. Századi Magyar Irodalomtörténeti Tanszék</t>
  </si>
  <si>
    <t>170</t>
  </si>
  <si>
    <t>165662123</t>
  </si>
  <si>
    <t>171</t>
  </si>
  <si>
    <t>Eötvös Loránd Tudományegyetem</t>
  </si>
  <si>
    <t>Egyetem</t>
  </si>
  <si>
    <t>172</t>
  </si>
  <si>
    <t>761048883</t>
  </si>
  <si>
    <t>ELTE-BOLYAI-SEK</t>
  </si>
  <si>
    <t>ELTE-SEK Bolyai János Gyakorló Általános Iskola és Gimnázium</t>
  </si>
  <si>
    <t>173</t>
  </si>
  <si>
    <t>165661954</t>
  </si>
  <si>
    <t>ELTE-EFK</t>
  </si>
  <si>
    <t>ELTE Egyetemközi Francia Központ</t>
  </si>
  <si>
    <t>174</t>
  </si>
  <si>
    <t>165661950</t>
  </si>
  <si>
    <t>ELTE-EK</t>
  </si>
  <si>
    <t>ELTE Egyetemi Könyvtár és Levéltár</t>
  </si>
  <si>
    <t>175</t>
  </si>
  <si>
    <t>960536201</t>
  </si>
  <si>
    <t>ELTE-FIEK</t>
  </si>
  <si>
    <t>ELTE Biotechnológia Felsőoktatási és Ipari Együttműködési Központ</t>
  </si>
  <si>
    <t>Akadémiai kutatócsoport</t>
  </si>
  <si>
    <t>176</t>
  </si>
  <si>
    <t>165662115</t>
  </si>
  <si>
    <t>ELTE-FKERT</t>
  </si>
  <si>
    <t>ELTE Füvészkert</t>
  </si>
  <si>
    <t>177</t>
  </si>
  <si>
    <t>165662114</t>
  </si>
  <si>
    <t>ELTE-GOTHARD</t>
  </si>
  <si>
    <t>ELTE Gothard Asztrofizikai Obszervatórium és Multidiszciplináris Kutatóközpont</t>
  </si>
  <si>
    <t>178</t>
  </si>
  <si>
    <t>165662605</t>
  </si>
  <si>
    <t>ELTE-INNKP</t>
  </si>
  <si>
    <t>ELTE Innovációs Központ</t>
  </si>
  <si>
    <t>179</t>
  </si>
  <si>
    <t>620956370</t>
  </si>
  <si>
    <t>ELTE-KK</t>
  </si>
  <si>
    <t>ELTE Kancellária</t>
  </si>
  <si>
    <t>180</t>
  </si>
  <si>
    <t>165662634</t>
  </si>
  <si>
    <t>ELTE-KK-GFI</t>
  </si>
  <si>
    <t>ELTE Gazdasági Főigazgatóság</t>
  </si>
  <si>
    <t>181</t>
  </si>
  <si>
    <t>165662602</t>
  </si>
  <si>
    <t>ELTE-KK-JIKI</t>
  </si>
  <si>
    <t>ELTE Jogi, Humánszolgáltatási és Közbeszerzési Főigazgatóság</t>
  </si>
  <si>
    <t>182</t>
  </si>
  <si>
    <t>165662240</t>
  </si>
  <si>
    <t>ELTE-KK-MIFIG</t>
  </si>
  <si>
    <t>ELTE Műszaki és Informatikai Főigazgatóság</t>
  </si>
  <si>
    <t>183</t>
  </si>
  <si>
    <t>165662318</t>
  </si>
  <si>
    <t>ELTE-KK-PK</t>
  </si>
  <si>
    <t>ELTE Pályázati Központ</t>
  </si>
  <si>
    <t>184</t>
  </si>
  <si>
    <t>165662549</t>
  </si>
  <si>
    <t>ELTE-KONFUCIUSZ</t>
  </si>
  <si>
    <t>ELTE Konfuciusz Intézet</t>
  </si>
  <si>
    <t>185</t>
  </si>
  <si>
    <t>165662317</t>
  </si>
  <si>
    <t>ELTE-MI</t>
  </si>
  <si>
    <t>ELTE Minőségügyi Iroda</t>
  </si>
  <si>
    <t>186</t>
  </si>
  <si>
    <t>165661942</t>
  </si>
  <si>
    <t>ELTE-OI</t>
  </si>
  <si>
    <t>ELTE Oktatási Igazgatóság</t>
  </si>
  <si>
    <t>187</t>
  </si>
  <si>
    <t>672077129</t>
  </si>
  <si>
    <t>ELTE-PRKI</t>
  </si>
  <si>
    <t>ELTE Kommunikációs, Marketing és Rekrutációs Igazgatóság</t>
  </si>
  <si>
    <t>188</t>
  </si>
  <si>
    <t>761042080</t>
  </si>
  <si>
    <t>ELTE-REGPEDKP-SEK</t>
  </si>
  <si>
    <t>ELTE Savaria Regionális Pedagógiai Szolgáltató és Kutató Központ</t>
  </si>
  <si>
    <t>189</t>
  </si>
  <si>
    <t>165661941</t>
  </si>
  <si>
    <t>ELTE-RK</t>
  </si>
  <si>
    <t>ELTE Rektori Kabinet</t>
  </si>
  <si>
    <t>190</t>
  </si>
  <si>
    <t>165662633</t>
  </si>
  <si>
    <t>ELTE-RK-ASIKI</t>
  </si>
  <si>
    <t>ELTE Adatvédelmi és Stratégiai Adatkezelési Iroda</t>
  </si>
  <si>
    <t>191</t>
  </si>
  <si>
    <t>1062158054</t>
  </si>
  <si>
    <t>ELTE-RK-HARMMISSZSTR</t>
  </si>
  <si>
    <t>ELTE Harmadik Misszió Stratégiai Iroda</t>
  </si>
  <si>
    <t>192</t>
  </si>
  <si>
    <t>672077173</t>
  </si>
  <si>
    <t>ELTE-RKK</t>
  </si>
  <si>
    <t>ELTE Rektori Koordinációs Központ</t>
  </si>
  <si>
    <t>193</t>
  </si>
  <si>
    <t>165662155</t>
  </si>
  <si>
    <t>ELTE-RK-KI</t>
  </si>
  <si>
    <t>ELTE Kabinetiroda</t>
  </si>
  <si>
    <t>194</t>
  </si>
  <si>
    <t>165662132</t>
  </si>
  <si>
    <t>ELTE-RK-NI</t>
  </si>
  <si>
    <t>ELTE Nemzetközi Stratégiai Iroda</t>
  </si>
  <si>
    <t>195</t>
  </si>
  <si>
    <t>761047795</t>
  </si>
  <si>
    <t>ELTE-RK-SEK</t>
  </si>
  <si>
    <t>ELTE-SEK Savaria Campus Iroda</t>
  </si>
  <si>
    <t>196</t>
  </si>
  <si>
    <t>672076893</t>
  </si>
  <si>
    <t>ELTE-RK-TPI</t>
  </si>
  <si>
    <t>ELTE Tudománypolitikai Iroda</t>
  </si>
  <si>
    <t>197</t>
  </si>
  <si>
    <t>165662113</t>
  </si>
  <si>
    <t>ELTE-TATA</t>
  </si>
  <si>
    <t>ELTE Tatai Geológus Kert – Természetvédelmi Terület és Szabadtéri Geológiai Muzeális Közgyűjtemény</t>
  </si>
  <si>
    <t>198</t>
  </si>
  <si>
    <t>988637318</t>
  </si>
  <si>
    <t>ELTE-TTKKIVTUDKP</t>
  </si>
  <si>
    <t>TTK Kiválósági Tudásközpont</t>
  </si>
  <si>
    <t>199</t>
  </si>
  <si>
    <t>847799391</t>
  </si>
  <si>
    <t>Gazdálkodástudományi Intézet</t>
  </si>
  <si>
    <t>200</t>
  </si>
  <si>
    <t>866165595</t>
  </si>
  <si>
    <t>GTI Érveléselmélet és Marketing Tanszék</t>
  </si>
  <si>
    <t>201</t>
  </si>
  <si>
    <t>970405936</t>
  </si>
  <si>
    <t>GTI-GH</t>
  </si>
  <si>
    <t>GTI Gazdasági Hivatal</t>
  </si>
  <si>
    <t>202</t>
  </si>
  <si>
    <t>970405961</t>
  </si>
  <si>
    <t>GTI-IH</t>
  </si>
  <si>
    <t>GTI Igazgatói Hivatal</t>
  </si>
  <si>
    <t>203</t>
  </si>
  <si>
    <t>866165102</t>
  </si>
  <si>
    <t>GTI Menedzsment és Üzleti Jog Tanszék</t>
  </si>
  <si>
    <t>204</t>
  </si>
  <si>
    <t>866164721</t>
  </si>
  <si>
    <t>GTI Összehasonlító Gazdaságtan Tanszék</t>
  </si>
  <si>
    <t>205</t>
  </si>
  <si>
    <t>866163855</t>
  </si>
  <si>
    <t>GTI Pénzügy és Számvitel Tanszék</t>
  </si>
  <si>
    <t>206</t>
  </si>
  <si>
    <t>970405955</t>
  </si>
  <si>
    <t>GTI-TH</t>
  </si>
  <si>
    <t>GTI Tanulmányi Hivatal</t>
  </si>
  <si>
    <t>207</t>
  </si>
  <si>
    <t>165662101</t>
  </si>
  <si>
    <t>GYAKISK</t>
  </si>
  <si>
    <t>ELTE Gyertyánffy István Gyakorló Általános Iskola</t>
  </si>
  <si>
    <t>208</t>
  </si>
  <si>
    <t>165662102</t>
  </si>
  <si>
    <t>GYAKÓVODA</t>
  </si>
  <si>
    <t>209</t>
  </si>
  <si>
    <t>165662324</t>
  </si>
  <si>
    <t>GYOPSZ</t>
  </si>
  <si>
    <t>ELTE Gyakorló Országos Pedagógiai Szakszolgálat</t>
  </si>
  <si>
    <t>210</t>
  </si>
  <si>
    <t>165661932</t>
  </si>
  <si>
    <t>211</t>
  </si>
  <si>
    <t>735662769</t>
  </si>
  <si>
    <t>IK Adattudományi és Adattechnológiai Tanszék</t>
  </si>
  <si>
    <t>1115785024</t>
  </si>
  <si>
    <t>212</t>
  </si>
  <si>
    <t>165662321</t>
  </si>
  <si>
    <t>IK Algoritmusok és Alkalmazásaik Tanszék</t>
  </si>
  <si>
    <t>1115785030</t>
  </si>
  <si>
    <t>213</t>
  </si>
  <si>
    <t>960551175</t>
  </si>
  <si>
    <t>IK Akadémiai-ipari Együttműködési Központ</t>
  </si>
  <si>
    <t>214</t>
  </si>
  <si>
    <t>165662648</t>
  </si>
  <si>
    <t>215</t>
  </si>
  <si>
    <t>1115785098</t>
  </si>
  <si>
    <t>IK-DIÁKTÁMKP</t>
  </si>
  <si>
    <t>IK Diáktámogató Központ</t>
  </si>
  <si>
    <t>216</t>
  </si>
  <si>
    <t>IK Egyetemi-Vállalati Együttműködési Intézet</t>
  </si>
  <si>
    <t>217</t>
  </si>
  <si>
    <t>165662350</t>
  </si>
  <si>
    <t>IK-GH</t>
  </si>
  <si>
    <t>218</t>
  </si>
  <si>
    <t>165661940</t>
  </si>
  <si>
    <t>IK Informatikai Csoport</t>
  </si>
  <si>
    <t>219</t>
  </si>
  <si>
    <t>165662585</t>
  </si>
  <si>
    <t>IK-IKKK</t>
  </si>
  <si>
    <t>IK Informatikai Kooperációs Kutatási és Oktatási Központ</t>
  </si>
  <si>
    <t>220</t>
  </si>
  <si>
    <t>IK Informatikatudományi Intézet</t>
  </si>
  <si>
    <t>221</t>
  </si>
  <si>
    <t>165662310</t>
  </si>
  <si>
    <t>IK Információs Rendszerek Tanszék</t>
  </si>
  <si>
    <t>222</t>
  </si>
  <si>
    <t>165662650</t>
  </si>
  <si>
    <t>IK-ITT</t>
  </si>
  <si>
    <t>IK Az MTA SZTAKI-ba kihelyezett Információtudományi Tanszék</t>
  </si>
  <si>
    <t>223</t>
  </si>
  <si>
    <t>165661939</t>
  </si>
  <si>
    <t>IK Komputeralgebra Tanszék</t>
  </si>
  <si>
    <t>224</t>
  </si>
  <si>
    <t>165662649</t>
  </si>
  <si>
    <t>IK-KÖNYVTÁR</t>
  </si>
  <si>
    <t>225</t>
  </si>
  <si>
    <t>165661937</t>
  </si>
  <si>
    <t>IK Média- és Oktatásinformatika Tanszék</t>
  </si>
  <si>
    <t>226</t>
  </si>
  <si>
    <t>970336108</t>
  </si>
  <si>
    <t>IK Mesterséges Intelligencia Tanszék</t>
  </si>
  <si>
    <t>227</t>
  </si>
  <si>
    <t>165661938</t>
  </si>
  <si>
    <t>IK Numerikus Analízis Tanszék</t>
  </si>
  <si>
    <t>228</t>
  </si>
  <si>
    <t>165662322</t>
  </si>
  <si>
    <t>IK Programozáselmélet és Szoftvertechnológiai Tanszék</t>
  </si>
  <si>
    <t>229</t>
  </si>
  <si>
    <t>165662323</t>
  </si>
  <si>
    <t>IK Programozási Nyelvek és Fordítóprogramok Tanszék</t>
  </si>
  <si>
    <t>230</t>
  </si>
  <si>
    <t>761020314</t>
  </si>
  <si>
    <t>IK-SEK Savaria Műszaki Intézet</t>
  </si>
  <si>
    <t>231</t>
  </si>
  <si>
    <t>1115785089</t>
  </si>
  <si>
    <t>IK-SZOFTADATKOMPKP</t>
  </si>
  <si>
    <t>IK Szoftver- és Adatintenzív Szolgáltatások Kompetencia Központ</t>
  </si>
  <si>
    <t>232</t>
  </si>
  <si>
    <t>165661935</t>
  </si>
  <si>
    <t>IK Térképtudományi és Geoinformatikai Intézet</t>
  </si>
  <si>
    <t>233</t>
  </si>
  <si>
    <t>165662351</t>
  </si>
  <si>
    <t>IK-TH</t>
  </si>
  <si>
    <t>IK Tanulmányi Hivatal</t>
  </si>
  <si>
    <t>Hivatal</t>
  </si>
  <si>
    <t>234</t>
  </si>
  <si>
    <t>1115785126</t>
  </si>
  <si>
    <t>IK-TUDNEMZCSOP</t>
  </si>
  <si>
    <t>IK Tudományos és Nemzetközi Kapcsolatok Csoportja</t>
  </si>
  <si>
    <t>235</t>
  </si>
  <si>
    <t>165662546</t>
  </si>
  <si>
    <t>ISSZK</t>
  </si>
  <si>
    <t>Illyés Sándor Szakkollégium</t>
  </si>
  <si>
    <t>236</t>
  </si>
  <si>
    <t>827725696</t>
  </si>
  <si>
    <t>MÁSZ</t>
  </si>
  <si>
    <t>Márton Áron Szakkollégium</t>
  </si>
  <si>
    <t>Szakkollégium</t>
  </si>
  <si>
    <t>237</t>
  </si>
  <si>
    <t>165662312</t>
  </si>
  <si>
    <t>238</t>
  </si>
  <si>
    <t>165662458</t>
  </si>
  <si>
    <t>PPK-APITSZ</t>
  </si>
  <si>
    <t>PPK Affektív Pszichológia Tanszék</t>
  </si>
  <si>
    <t>165662015</t>
  </si>
  <si>
    <t>239</t>
  </si>
  <si>
    <t>165662353</t>
  </si>
  <si>
    <t>PPK Dékáni Hivatal</t>
  </si>
  <si>
    <t>240</t>
  </si>
  <si>
    <t>1075322603</t>
  </si>
  <si>
    <t>PPK Ember–Környezet Tranzakció Intézet</t>
  </si>
  <si>
    <t>241</t>
  </si>
  <si>
    <t>165662460</t>
  </si>
  <si>
    <t>PPK Életvezetési Tanácsadó</t>
  </si>
  <si>
    <t>242</t>
  </si>
  <si>
    <t>165662364</t>
  </si>
  <si>
    <t>PPK Egészségfejlesztési és Sporttudományi Intézet</t>
  </si>
  <si>
    <t>243</t>
  </si>
  <si>
    <t>165662658</t>
  </si>
  <si>
    <t>PPK-FEJLPSZITSZ</t>
  </si>
  <si>
    <t>PPK Fejlődés- és Klinikai Gyermekpszichológia Tanszék</t>
  </si>
  <si>
    <t>244</t>
  </si>
  <si>
    <t>165662217</t>
  </si>
  <si>
    <t>PPK Felnőttképzés-kutatási és Tudásmenedzsment Intézet</t>
  </si>
  <si>
    <t>245</t>
  </si>
  <si>
    <t>165662659</t>
  </si>
  <si>
    <t>PPK-GAZDPSZITSZ</t>
  </si>
  <si>
    <t>PPK Szervezet- és Vezetéspszichológia Tanszék</t>
  </si>
  <si>
    <t>246</t>
  </si>
  <si>
    <t>165662290</t>
  </si>
  <si>
    <t>PPK-GH</t>
  </si>
  <si>
    <t>PPK Gazdasági Hivatal</t>
  </si>
  <si>
    <t>247</t>
  </si>
  <si>
    <t>165662459</t>
  </si>
  <si>
    <t>PPK Interkulturális Pszichológiai és Pedagógiai Intézet</t>
  </si>
  <si>
    <t>248</t>
  </si>
  <si>
    <t>165662660</t>
  </si>
  <si>
    <t>PPK-KLINPSZITSZ</t>
  </si>
  <si>
    <t>PPK Klinikai Pszichológia és Addiktológia Tanszék</t>
  </si>
  <si>
    <t>249</t>
  </si>
  <si>
    <t>165662462</t>
  </si>
  <si>
    <t>PPK-KOGPSZITSZ</t>
  </si>
  <si>
    <t>PPK Kognitív Pszichológia Tanszék</t>
  </si>
  <si>
    <t>250</t>
  </si>
  <si>
    <t>165662461</t>
  </si>
  <si>
    <t>PPK-KÖNYVTÁR</t>
  </si>
  <si>
    <t>PPK Kari Könyvtár</t>
  </si>
  <si>
    <t>251</t>
  </si>
  <si>
    <t>165662056</t>
  </si>
  <si>
    <t>PPK Neveléstudományi Intézet</t>
  </si>
  <si>
    <t>252</t>
  </si>
  <si>
    <t>PPK Pszichológiai Intézet</t>
  </si>
  <si>
    <t>253</t>
  </si>
  <si>
    <t>1075323597</t>
  </si>
  <si>
    <t>PPK-PI-TANISKTSZ</t>
  </si>
  <si>
    <t>PPK Tanácsadás- és Iskolapszichológia Tanszék</t>
  </si>
  <si>
    <t>254</t>
  </si>
  <si>
    <t>165662654</t>
  </si>
  <si>
    <t>PPK-PSZIKÖNYVTÁR</t>
  </si>
  <si>
    <t>PPK Történeti Szociálpszichológiai Szakgyűjtemény</t>
  </si>
  <si>
    <t>255</t>
  </si>
  <si>
    <t>761022068</t>
  </si>
  <si>
    <t>PPK-SEK Pedagógiai és Pszichológiai Intézet - Szombathely</t>
  </si>
  <si>
    <t>256</t>
  </si>
  <si>
    <t>761023317</t>
  </si>
  <si>
    <t>PPK-SEK Sporttudományi Intézet - Szombathely</t>
  </si>
  <si>
    <t>257</t>
  </si>
  <si>
    <t>165662017</t>
  </si>
  <si>
    <t>PPK-SZEMEGPSZITSZ</t>
  </si>
  <si>
    <t>PPK Személyiség- és Egészségpszichológia Tanszék</t>
  </si>
  <si>
    <t>258</t>
  </si>
  <si>
    <t>165662018</t>
  </si>
  <si>
    <t>PPK-SZOCPSZITSZ</t>
  </si>
  <si>
    <t>PPK Szociálpszichológia Tanszék</t>
  </si>
  <si>
    <t>259</t>
  </si>
  <si>
    <t>677380382</t>
  </si>
  <si>
    <t>PPK Tanulmányi Hivatal</t>
  </si>
  <si>
    <t>260</t>
  </si>
  <si>
    <t>165662100</t>
  </si>
  <si>
    <t>RADNÓTI</t>
  </si>
  <si>
    <t>ELTE Radnóti Miklós Gyakorló Általános Iskola és Gyakorló Gimnázium</t>
  </si>
  <si>
    <t>261</t>
  </si>
  <si>
    <t>165662104</t>
  </si>
  <si>
    <t>SPECÓVODA</t>
  </si>
  <si>
    <t>ELTE Gyakorló Óvoda és Egységes Gyógypedagógiai Módszertani Intézmény</t>
  </si>
  <si>
    <t>262</t>
  </si>
  <si>
    <t>165661928</t>
  </si>
  <si>
    <t>263</t>
  </si>
  <si>
    <t>165662370</t>
  </si>
  <si>
    <t>TÁTK-DH</t>
  </si>
  <si>
    <t>TÁTK Dékáni Hivatal</t>
  </si>
  <si>
    <t>264</t>
  </si>
  <si>
    <t>165662533</t>
  </si>
  <si>
    <t>TÁTK Egészségpolitika és Egészség-gazdaságtan Tanszék</t>
  </si>
  <si>
    <t>165662664</t>
  </si>
  <si>
    <t>265</t>
  </si>
  <si>
    <t>165662031</t>
  </si>
  <si>
    <t>TÁTK Társadalomelmélet Tanszék</t>
  </si>
  <si>
    <t>165662377</t>
  </si>
  <si>
    <t>TÁTK-SZOC-INT</t>
  </si>
  <si>
    <t>266</t>
  </si>
  <si>
    <t>165662375</t>
  </si>
  <si>
    <t>TÁTK-EMPT-INT</t>
  </si>
  <si>
    <t>TÁTK Empirikus Tanulmányok Intézete</t>
  </si>
  <si>
    <t>267</t>
  </si>
  <si>
    <t>165662380</t>
  </si>
  <si>
    <t>TÁTK Nemzetközi és Európai Tanulmányok Tanszék</t>
  </si>
  <si>
    <t>165662379</t>
  </si>
  <si>
    <t>TÁTK-POLNT-INT</t>
  </si>
  <si>
    <t>268</t>
  </si>
  <si>
    <t>165662372</t>
  </si>
  <si>
    <t>TÁTK-GH</t>
  </si>
  <si>
    <t>TÁTK Gazdasági Hivatal</t>
  </si>
  <si>
    <t>269</t>
  </si>
  <si>
    <t>761186967</t>
  </si>
  <si>
    <t>TÁTK-SEK Savaria Gazdálkodástudományi Tanszék</t>
  </si>
  <si>
    <t>270</t>
  </si>
  <si>
    <t>165662037</t>
  </si>
  <si>
    <t>TÁTK Kisebbségszociológia Tanszék</t>
  </si>
  <si>
    <t>165662378</t>
  </si>
  <si>
    <t>TÁTK-TARS-INT</t>
  </si>
  <si>
    <t>271</t>
  </si>
  <si>
    <t>165662532</t>
  </si>
  <si>
    <t>TÁTK Közgazdaságtudományi Tanszék</t>
  </si>
  <si>
    <t>272</t>
  </si>
  <si>
    <t>TÁTK Közgazdaságtudományi Intézet</t>
  </si>
  <si>
    <t>273</t>
  </si>
  <si>
    <t>165662112</t>
  </si>
  <si>
    <t>TÁTK Kulturális Antropológia Tanszék</t>
  </si>
  <si>
    <t>274</t>
  </si>
  <si>
    <t>165662374</t>
  </si>
  <si>
    <t>TÁTK-KVT</t>
  </si>
  <si>
    <t>TÁTK Némedi Dénes Kari Könyvtár</t>
  </si>
  <si>
    <t>275</t>
  </si>
  <si>
    <t>165662035</t>
  </si>
  <si>
    <t>TÁTK Társadalomkutatások Módszertana Tanszék</t>
  </si>
  <si>
    <t>276</t>
  </si>
  <si>
    <t>TÁTK Politikai és Nemzetközi Tanulmányok Intézete</t>
  </si>
  <si>
    <t>277</t>
  </si>
  <si>
    <t>165662046</t>
  </si>
  <si>
    <t>TÁTK Emberi Jogi és Politikatudományi Tanszék</t>
  </si>
  <si>
    <t>278</t>
  </si>
  <si>
    <t>165662033</t>
  </si>
  <si>
    <t>TÁTK Szociálpszichológia Tanszék</t>
  </si>
  <si>
    <t>279</t>
  </si>
  <si>
    <t>165662038</t>
  </si>
  <si>
    <t>TÁTK Statisztika Tanszék</t>
  </si>
  <si>
    <t>280</t>
  </si>
  <si>
    <t>165662376</t>
  </si>
  <si>
    <t>TÁTK Szociális Tanulmányok Intézete</t>
  </si>
  <si>
    <t>281</t>
  </si>
  <si>
    <t>TÁTK Szociológia Intézet</t>
  </si>
  <si>
    <t>282</t>
  </si>
  <si>
    <t>614485810</t>
  </si>
  <si>
    <t>TÁTK Szociális Munka Tanszék</t>
  </si>
  <si>
    <t>283</t>
  </si>
  <si>
    <t>614486048</t>
  </si>
  <si>
    <t>TÁTK Szociálpolitika Tanszék</t>
  </si>
  <si>
    <t>284</t>
  </si>
  <si>
    <t>165662034</t>
  </si>
  <si>
    <t>TÁTK Szociológia Tanszék</t>
  </si>
  <si>
    <t>285</t>
  </si>
  <si>
    <t>TÁTK Társadalmi Kapcsolatok Intézete</t>
  </si>
  <si>
    <t>286</t>
  </si>
  <si>
    <t>970405692</t>
  </si>
  <si>
    <t>TÁTK-TÁRSKONFL-KUTKP</t>
  </si>
  <si>
    <t>TÁTK Társadalmi Konfliktusok Kutatóközpont</t>
  </si>
  <si>
    <t>287</t>
  </si>
  <si>
    <t>165662371</t>
  </si>
  <si>
    <t>TÁTK-TH</t>
  </si>
  <si>
    <t>TÁTK Tanulmányi Hivatal</t>
  </si>
  <si>
    <t>288</t>
  </si>
  <si>
    <t>165662036</t>
  </si>
  <si>
    <t>TÁTK Összehasonlító Történeti Szociológia Tanszék</t>
  </si>
  <si>
    <t>289</t>
  </si>
  <si>
    <t>466409177</t>
  </si>
  <si>
    <t>290</t>
  </si>
  <si>
    <t>165661944</t>
  </si>
  <si>
    <t>291</t>
  </si>
  <si>
    <t>165662283</t>
  </si>
  <si>
    <t>TÓK-DH</t>
  </si>
  <si>
    <t>292</t>
  </si>
  <si>
    <t>698054534</t>
  </si>
  <si>
    <t>TÓK Digitális Pedagógiai Tanszék</t>
  </si>
  <si>
    <t>293</t>
  </si>
  <si>
    <t>165662228</t>
  </si>
  <si>
    <t>TÓK Ének-zenei Tanszék</t>
  </si>
  <si>
    <t>294</t>
  </si>
  <si>
    <t>165662286</t>
  </si>
  <si>
    <t>TÓK-GH</t>
  </si>
  <si>
    <t>295</t>
  </si>
  <si>
    <t>165662229</t>
  </si>
  <si>
    <t>TÓK Idegen Nyelvi és Irodalmi Tanszék</t>
  </si>
  <si>
    <t>296</t>
  </si>
  <si>
    <t>165662666</t>
  </si>
  <si>
    <t>TÓK-KISGYERMKUTKP</t>
  </si>
  <si>
    <t>TÓK Kisgyermek-nevelési Kutatóközpont és Módszertani Laboratórium</t>
  </si>
  <si>
    <t>297</t>
  </si>
  <si>
    <t>165662287</t>
  </si>
  <si>
    <t>TÓK-KÖNYVTÁR</t>
  </si>
  <si>
    <t>298</t>
  </si>
  <si>
    <t>165662231</t>
  </si>
  <si>
    <t>TÓK Magyar Nyelvi és Irodalmi Tanszék</t>
  </si>
  <si>
    <t>299</t>
  </si>
  <si>
    <t>165662089</t>
  </si>
  <si>
    <t>TÓK Matematika Tanszék</t>
  </si>
  <si>
    <t>300</t>
  </si>
  <si>
    <t>165662091</t>
  </si>
  <si>
    <t>TÓK Neveléstudományi Tanszék</t>
  </si>
  <si>
    <t>301</t>
  </si>
  <si>
    <t>165662092</t>
  </si>
  <si>
    <t>TÓK Társadalomtudományi Tanszék</t>
  </si>
  <si>
    <t>302</t>
  </si>
  <si>
    <t>165662093</t>
  </si>
  <si>
    <t>TÓK Természettudományi Tanszék</t>
  </si>
  <si>
    <t>303</t>
  </si>
  <si>
    <t>165662094</t>
  </si>
  <si>
    <t>TÓK Testnevelési Tanszék</t>
  </si>
  <si>
    <t>304</t>
  </si>
  <si>
    <t>677381667</t>
  </si>
  <si>
    <t>TÓK-TH</t>
  </si>
  <si>
    <t>305</t>
  </si>
  <si>
    <t>165662095</t>
  </si>
  <si>
    <t>TÓK Vizuális Nevelési Tanszék</t>
  </si>
  <si>
    <t>306</t>
  </si>
  <si>
    <t>165662098</t>
  </si>
  <si>
    <t>TREFORT</t>
  </si>
  <si>
    <t>ELTE Trefort Ágoston Gyakorló Gimnázium</t>
  </si>
  <si>
    <t>307</t>
  </si>
  <si>
    <t>165661930</t>
  </si>
  <si>
    <t>308</t>
  </si>
  <si>
    <t>165662133</t>
  </si>
  <si>
    <t>TTK Állatrendszertani és Ökológiai Tanszék</t>
  </si>
  <si>
    <t>165662061</t>
  </si>
  <si>
    <t>309</t>
  </si>
  <si>
    <t>165662131</t>
  </si>
  <si>
    <t>TTK Anatómiai, Sejt- és Fejlődésbiológiai Tanszék</t>
  </si>
  <si>
    <t>310</t>
  </si>
  <si>
    <t>165662135</t>
  </si>
  <si>
    <t>TTK Biokémiai Tanszék</t>
  </si>
  <si>
    <t>311</t>
  </si>
  <si>
    <t>165662146</t>
  </si>
  <si>
    <t>TTK Élettani és Neurobiológiai Tanszék</t>
  </si>
  <si>
    <t>312</t>
  </si>
  <si>
    <t>165662137</t>
  </si>
  <si>
    <t>TTK Embertani Tanszék</t>
  </si>
  <si>
    <t>313</t>
  </si>
  <si>
    <t>165662139</t>
  </si>
  <si>
    <t>TTK Biológiai Szakmódszertani Csoport</t>
  </si>
  <si>
    <t>314</t>
  </si>
  <si>
    <t>165662147</t>
  </si>
  <si>
    <t>TTK Etológiai Tanszék</t>
  </si>
  <si>
    <t>315</t>
  </si>
  <si>
    <t>165662141</t>
  </si>
  <si>
    <t>TTK Genetika Tanszék</t>
  </si>
  <si>
    <t>316</t>
  </si>
  <si>
    <t>165662148</t>
  </si>
  <si>
    <t>TTK Immunológiai Tanszék</t>
  </si>
  <si>
    <t>317</t>
  </si>
  <si>
    <t>165662143</t>
  </si>
  <si>
    <t>TTK Mikrobiológiai Tanszék</t>
  </si>
  <si>
    <t>318</t>
  </si>
  <si>
    <t>165662144</t>
  </si>
  <si>
    <t>TTK Növényélettani és Molekuláris Növénybiológiai Tanszék</t>
  </si>
  <si>
    <t>319</t>
  </si>
  <si>
    <t>165662145</t>
  </si>
  <si>
    <t>TTK Növényrendszertani, Ökológiai és Elméleti Biológiai Tanszék</t>
  </si>
  <si>
    <t>320</t>
  </si>
  <si>
    <t>165662304</t>
  </si>
  <si>
    <t>TTK Növényszervezettani Tanszék</t>
  </si>
  <si>
    <t>321</t>
  </si>
  <si>
    <t>TTK Biológiai Intézet</t>
  </si>
  <si>
    <t>322</t>
  </si>
  <si>
    <t>165662054</t>
  </si>
  <si>
    <t>TTK Földrajz- és Földtudományi Intézet</t>
  </si>
  <si>
    <t>323</t>
  </si>
  <si>
    <t>165662584</t>
  </si>
  <si>
    <t>TTK Általános és Alkalmazott Földtani Tanszék</t>
  </si>
  <si>
    <t>165662062</t>
  </si>
  <si>
    <t>324</t>
  </si>
  <si>
    <t>165662179</t>
  </si>
  <si>
    <t>TTK Ásványtani Tanszék</t>
  </si>
  <si>
    <t>325</t>
  </si>
  <si>
    <t>165662085</t>
  </si>
  <si>
    <t>TTK Csillagászati Tanszék</t>
  </si>
  <si>
    <t>326</t>
  </si>
  <si>
    <t>165662402</t>
  </si>
  <si>
    <t>TTK-FFI-FÖLD-KIHELY</t>
  </si>
  <si>
    <t>MTA Magyar Tudományos Akadémia Földrajztudományi Kutató Intézetébe kihelyezett tanszéki csoport</t>
  </si>
  <si>
    <t>165662064</t>
  </si>
  <si>
    <t>TTK-FFI-FÖLDRAJZ-KP</t>
  </si>
  <si>
    <t>327</t>
  </si>
  <si>
    <t>TTK Földrajztudományi Központ</t>
  </si>
  <si>
    <t>328</t>
  </si>
  <si>
    <t>TTK Földtudományi Központ</t>
  </si>
  <si>
    <t>329</t>
  </si>
  <si>
    <t>165662030</t>
  </si>
  <si>
    <t>TTK Geofizikai és Űrtudományi Tanszék</t>
  </si>
  <si>
    <t>330</t>
  </si>
  <si>
    <t>165662210</t>
  </si>
  <si>
    <t>TTK Környezet- és Tájföldrajzi Tanszék</t>
  </si>
  <si>
    <t>331</t>
  </si>
  <si>
    <t>165662181</t>
  </si>
  <si>
    <t>TTK Kőzettan-Geokémiai Tanszék</t>
  </si>
  <si>
    <t>332</t>
  </si>
  <si>
    <t>165662400</t>
  </si>
  <si>
    <t>TTK-FFIMÁFIREGFÖLDT</t>
  </si>
  <si>
    <t>TTK Magyar Állami Földtani Intézetbe kihelyezett Regionális Földtani Tanszék</t>
  </si>
  <si>
    <t>333</t>
  </si>
  <si>
    <t>165662125</t>
  </si>
  <si>
    <t>TTK Meteorológiai Tanszék</t>
  </si>
  <si>
    <t>334</t>
  </si>
  <si>
    <t>165662406</t>
  </si>
  <si>
    <t>TTK-FFIMTAASZTRLAB</t>
  </si>
  <si>
    <t>MTA Csillagászati Kutató Intézetébe kihelyezett Asztrofizikai Laboratórium</t>
  </si>
  <si>
    <t>335</t>
  </si>
  <si>
    <t>165662407</t>
  </si>
  <si>
    <t>TTK-FFIOMSZ</t>
  </si>
  <si>
    <t>TTK Országos Meteorológiai Szolgálathoz kihelyezett Tanszéki Csoport</t>
  </si>
  <si>
    <t>336</t>
  </si>
  <si>
    <t>165662183</t>
  </si>
  <si>
    <t>TTK Őslénytani Tanszék</t>
  </si>
  <si>
    <t>337</t>
  </si>
  <si>
    <t>165662168</t>
  </si>
  <si>
    <t>TTK Regionális Tudományi Tanszék</t>
  </si>
  <si>
    <t>338</t>
  </si>
  <si>
    <t>165662174</t>
  </si>
  <si>
    <t>TTK Természetföldrajzi Tanszék</t>
  </si>
  <si>
    <t>339</t>
  </si>
  <si>
    <t>165662173</t>
  </si>
  <si>
    <t>TTK Társadalom- és Gazdaságföldrajzi Tanszék</t>
  </si>
  <si>
    <t>340</t>
  </si>
  <si>
    <t>165662272</t>
  </si>
  <si>
    <t>TTK Űrkutató Csoport</t>
  </si>
  <si>
    <t>341</t>
  </si>
  <si>
    <t>165662164</t>
  </si>
  <si>
    <t>TTK Anyagfizikai Tanszék</t>
  </si>
  <si>
    <t>165662059</t>
  </si>
  <si>
    <t>342</t>
  </si>
  <si>
    <t>165662149</t>
  </si>
  <si>
    <t>TTK Atomfizikai Tanszék</t>
  </si>
  <si>
    <t>343</t>
  </si>
  <si>
    <t>165662160</t>
  </si>
  <si>
    <t>TTK Biológiai Fizika Tanszék</t>
  </si>
  <si>
    <t>344</t>
  </si>
  <si>
    <t>165662158</t>
  </si>
  <si>
    <t>TTK Elméleti Fizikai Tanszék</t>
  </si>
  <si>
    <t>345</t>
  </si>
  <si>
    <t>165662162</t>
  </si>
  <si>
    <t>TTK Komplex Rendszerek Fizikája Tanszék</t>
  </si>
  <si>
    <t>346</t>
  </si>
  <si>
    <t>TTK Fizikai Intézet</t>
  </si>
  <si>
    <t>347</t>
  </si>
  <si>
    <t>165662268</t>
  </si>
  <si>
    <t>TTK-GH</t>
  </si>
  <si>
    <t>TTK Gazdasági Hivatal</t>
  </si>
  <si>
    <t>348</t>
  </si>
  <si>
    <t>165662265</t>
  </si>
  <si>
    <t>TTK-KARI</t>
  </si>
  <si>
    <t>TTK Dékáni Hivatal</t>
  </si>
  <si>
    <t>349</t>
  </si>
  <si>
    <t>165662271</t>
  </si>
  <si>
    <t>TTK-KARIKÖNYVTÁR</t>
  </si>
  <si>
    <t>TTK Kari Könyvtár</t>
  </si>
  <si>
    <t>350</t>
  </si>
  <si>
    <t>165662487</t>
  </si>
  <si>
    <t>351</t>
  </si>
  <si>
    <t>165662052</t>
  </si>
  <si>
    <t>TTK Kémiai Intézet</t>
  </si>
  <si>
    <t>352</t>
  </si>
  <si>
    <t>165662072</t>
  </si>
  <si>
    <t>TTK Analitikai Kémiai Tanszék</t>
  </si>
  <si>
    <t>353</t>
  </si>
  <si>
    <t>165662067</t>
  </si>
  <si>
    <t>TTK Fizikai Kémiai Tanszék</t>
  </si>
  <si>
    <t>354</t>
  </si>
  <si>
    <t>165662070</t>
  </si>
  <si>
    <t>TTK Szerves Kémiai Tanszék</t>
  </si>
  <si>
    <t>355</t>
  </si>
  <si>
    <t>165662066</t>
  </si>
  <si>
    <t>TTK Szervetlen Kémiai Tanszék</t>
  </si>
  <si>
    <t>356</t>
  </si>
  <si>
    <t>165662667</t>
  </si>
  <si>
    <t>TTK-KOZPKUTMUSZ</t>
  </si>
  <si>
    <t>Központi Kutató és Ipari Kapcsolatok Centrum</t>
  </si>
  <si>
    <t>357</t>
  </si>
  <si>
    <t>165662316</t>
  </si>
  <si>
    <t>TTK Környezettudományi Centrum</t>
  </si>
  <si>
    <t>358</t>
  </si>
  <si>
    <t>165662134</t>
  </si>
  <si>
    <t>TTK Matematikai Intézet</t>
  </si>
  <si>
    <t>359</t>
  </si>
  <si>
    <t>165662127</t>
  </si>
  <si>
    <t>TTK Algebra és Számelmélet Tanszék</t>
  </si>
  <si>
    <t>360</t>
  </si>
  <si>
    <t>165662136</t>
  </si>
  <si>
    <t>TTK Alkalmazott Analízis és Számításmatematikai Tanszék</t>
  </si>
  <si>
    <t>361</t>
  </si>
  <si>
    <t>165662128</t>
  </si>
  <si>
    <t>TTK Analízis Tanszék</t>
  </si>
  <si>
    <t>362</t>
  </si>
  <si>
    <t>165662138</t>
  </si>
  <si>
    <t>TTK Geometriai Tanszék</t>
  </si>
  <si>
    <t>363</t>
  </si>
  <si>
    <t>165662142</t>
  </si>
  <si>
    <t>TTK Matematikatanítási és Módszertani Központ</t>
  </si>
  <si>
    <t>364</t>
  </si>
  <si>
    <t>165662129</t>
  </si>
  <si>
    <t>TTK Operációkutatási Tanszék</t>
  </si>
  <si>
    <t>365</t>
  </si>
  <si>
    <t>165662130</t>
  </si>
  <si>
    <t>TTK Számítógéptudományi Tanszék</t>
  </si>
  <si>
    <t>366</t>
  </si>
  <si>
    <t>165662140</t>
  </si>
  <si>
    <t>TTK Valószínűségelméleti és Statisztika Tanszék</t>
  </si>
  <si>
    <t>367</t>
  </si>
  <si>
    <t>165662408</t>
  </si>
  <si>
    <t>TTK-OKTKUTSEGÍT-CS</t>
  </si>
  <si>
    <t>TTK A Tanszéken belül oktatást, kutatást segítő Alkalmazott Statisztikai Szolgáltató Csoport</t>
  </si>
  <si>
    <t>368</t>
  </si>
  <si>
    <t>165662267</t>
  </si>
  <si>
    <t>TTK Tanulmányi Hivatal</t>
  </si>
  <si>
    <t>369</t>
  </si>
  <si>
    <t>165662547</t>
  </si>
  <si>
    <t>TTSZK</t>
  </si>
  <si>
    <t>Angelusz Róbert Társadalomtudományi Szakkollégium</t>
  </si>
  <si>
    <t>370</t>
  </si>
  <si>
    <t>Büntetőjogi Tanszék</t>
  </si>
  <si>
    <t>Idegennyelvi Oktatásszervezési Központ</t>
  </si>
  <si>
    <t>Közgazdaságtan és Statisztika Tanszék</t>
  </si>
  <si>
    <t>Kuncz Ödön Jogi Tudásközpont</t>
  </si>
  <si>
    <t>Kriminológiai Tanszék</t>
  </si>
  <si>
    <t>Munkajogi és Szociális Jogi Tanszék</t>
  </si>
  <si>
    <t>Nemzetközi Magánjogi és Európai Gazdasági Jogi Tanszék</t>
  </si>
  <si>
    <t>Polgári Eljárásjogi Tanszék</t>
  </si>
  <si>
    <t>Politikatudományi Intézet</t>
  </si>
  <si>
    <t>Átoktatás átvétel, támogatás</t>
  </si>
  <si>
    <t>Átoktatás átvétel, támogatás felosztása általános munkaszámról intézetekre / tanszékekre</t>
  </si>
  <si>
    <t>Átoktatással csökkentett képzési támogatás áthozatala képzési munkaszámokról intézetekre / tanszékekre, általános munkaszámra, hivatalokra</t>
  </si>
  <si>
    <t>Átoktatás átvétel, önköltséges bevétel</t>
  </si>
  <si>
    <t>Átoktatás átvétel, önköltséges bevétel felosztása általános munkaszámról intézetekre / tanszékekre</t>
  </si>
  <si>
    <t>Egyéb finanszírozású képzési bevétel tervezése képzési munkaszámokra</t>
  </si>
  <si>
    <t>Önköltséges képzési bevétel tervezése képzési munkaszámokra</t>
  </si>
  <si>
    <t>Önköltséges képzési bevétel felosztása általános munkaszámról intézetekre / tanszékekre</t>
  </si>
  <si>
    <t>Átoktatással csökkentett önköltséges képzési bevétel áthozatala képzési munkaszámokról intézetekre / tanszékekre, általános munkaszámra, hivatalokra</t>
  </si>
  <si>
    <t>Átoktatással csökkentett egyéb finanszírozású képzési bevétel áthozatala képzési munkaszámokról intézetekre / tanszékekre, általános munkaszámra, hivatalokra</t>
  </si>
  <si>
    <t>Egyéb finanszírozású képzési bevétel felosztása általános munkaszámról intézetekre / tanszékekre</t>
  </si>
  <si>
    <t>Átoktatás átvétel, egyéb finanszírozású bevétel</t>
  </si>
  <si>
    <t>Átoktatás átadás, egyéb finanszírozású bevétel</t>
  </si>
  <si>
    <t>Átoktatás átadás, Stipendium Hungaricum</t>
  </si>
  <si>
    <t>Átoktatással csökkentett Stipendium Hungaricum képzési támogatás áthozatala képzési munkaszámokról intézetekre / tanszékekre, általános munkaszámra, hivatalokra</t>
  </si>
  <si>
    <t>Átoktatás átvétel, Stipendium Hungaricum</t>
  </si>
  <si>
    <t>Átoktatás átvétel, Stipendium Hungaricum támogatás felosztása általános munkaszámról intézetekre / tanszékekre</t>
  </si>
  <si>
    <t>Közterületesítés</t>
  </si>
  <si>
    <t>Dologi kiadások</t>
  </si>
  <si>
    <t>MARADVÁNY</t>
  </si>
  <si>
    <t>Személyi kiadások (kari kiválósági nélkül)</t>
  </si>
  <si>
    <t>Kari kiválósági személyi kiadások</t>
  </si>
  <si>
    <t>Keresztfinanszírozás utáni egyenleg</t>
  </si>
  <si>
    <t>14.c</t>
  </si>
  <si>
    <t>Stipendium Hungaricum képzési támogatás átvétele stipendium munkaszámról / tervezése képzési munkaszámokra</t>
  </si>
  <si>
    <t>2020. évi %-os megoszlás</t>
  </si>
  <si>
    <t>Rezsi 40%</t>
  </si>
  <si>
    <t>ÁKTH 19%</t>
  </si>
  <si>
    <t>KIVÁLÓSÁGI ALAP 5%</t>
  </si>
  <si>
    <t>KIVÁLÓSÁGI ALAP 0,5%</t>
  </si>
  <si>
    <t>KARON MARADÓ 15,5%</t>
  </si>
  <si>
    <t>Összesen</t>
  </si>
  <si>
    <t>CTEKP2019</t>
  </si>
  <si>
    <t>DTEKP2019</t>
  </si>
  <si>
    <t>ETEKP2019</t>
  </si>
  <si>
    <t>ÁJK</t>
  </si>
  <si>
    <t>TáTK</t>
  </si>
  <si>
    <t>GOTTHARD</t>
  </si>
  <si>
    <t>Mindösszesen*</t>
  </si>
  <si>
    <t>* A kalkuláció nem tartalmazza a PÁK által lebonyolított pályázatok tervezett kiadásait.</t>
  </si>
  <si>
    <t>** Az NVKP, NKP, VKE, FIEK, VEKOP, GINOP, H2020, EFOP pályázatok tervezett kiadásai kerültek összeszámításra a Pályázati Központ által</t>
  </si>
  <si>
    <t>Pályázatok után 5% kiválósági alap átadása</t>
  </si>
  <si>
    <t>Pályázatok után 5% ÁKTH átadása</t>
  </si>
  <si>
    <t>Összeg / Eltérés</t>
  </si>
  <si>
    <t>RR9704/14</t>
  </si>
  <si>
    <t>EISZ</t>
  </si>
  <si>
    <t>ÖSSZEGZŐ SOR</t>
  </si>
  <si>
    <t>ÖSSZESEN: töltendő, ha nincs alábontás</t>
  </si>
  <si>
    <t>TERVEZÉS ÖSSZESEN (karon kívülre átadásnál 0)</t>
  </si>
  <si>
    <t>idei forrás ÖSSZESEN: töltendő, ha nincs alábontás</t>
  </si>
  <si>
    <t>Összesen:</t>
  </si>
  <si>
    <t>7.sz.melléklet szerint külön tervezendő</t>
  </si>
  <si>
    <t>12.sz.melléklet szerint külön tervezendő</t>
  </si>
  <si>
    <t>Informatikai kiadások, maradvány</t>
  </si>
  <si>
    <t>KARI főcsoport ÖSSZESEN</t>
  </si>
  <si>
    <t>Üzemeltetési kiadások, maradvány</t>
  </si>
  <si>
    <t>Funkcióterület neve</t>
  </si>
  <si>
    <t>Igen, Budapest</t>
  </si>
  <si>
    <t>B0000</t>
  </si>
  <si>
    <t>C0000</t>
  </si>
  <si>
    <t>D0000</t>
  </si>
  <si>
    <t>E0000</t>
  </si>
  <si>
    <t>F0000</t>
  </si>
  <si>
    <t>G0000</t>
  </si>
  <si>
    <t>H0000</t>
  </si>
  <si>
    <t>Igen, Szombathely</t>
  </si>
  <si>
    <t>B0400</t>
  </si>
  <si>
    <t>E0500</t>
  </si>
  <si>
    <t>F0400</t>
  </si>
  <si>
    <t>S0000</t>
  </si>
  <si>
    <t>Használt bruttó terület m2</t>
  </si>
  <si>
    <t>%</t>
  </si>
  <si>
    <t>Kötelező üzemeltetés fajlagos
kiadása
Ft/m2</t>
  </si>
  <si>
    <t>Kizárólagos terület
m2</t>
  </si>
  <si>
    <t>Kizárólagos terület aránya</t>
  </si>
  <si>
    <t>Közterületre eső kötelező üzemeltetési kiadás
Ft</t>
  </si>
  <si>
    <t>5.=3./1.</t>
  </si>
  <si>
    <t>8.=6./1.</t>
  </si>
  <si>
    <t>Kizárólagos területre eső kötelező üzemeltetési kiadás Ft</t>
  </si>
  <si>
    <t>Létszám-egyenértékes
(hallgatók +
2 x alkalmazottak)</t>
  </si>
  <si>
    <t>Közterületre eső üzemeltetési kiadás újraosztása</t>
  </si>
  <si>
    <t>9.=8.*3.</t>
  </si>
  <si>
    <t>12.=3.-9.</t>
  </si>
  <si>
    <t>14.=9.+13.</t>
  </si>
  <si>
    <t>Telefonköltség, maradvány</t>
  </si>
  <si>
    <t>Telefonköltség, idei forrás</t>
  </si>
  <si>
    <t>Dologi kiadások, idei forrás</t>
  </si>
  <si>
    <t>Dologi kiadások, maradvány</t>
  </si>
  <si>
    <t>Bevételátadás belső működésre</t>
  </si>
  <si>
    <t>Bevételátadás belső működésre, maradvány</t>
  </si>
  <si>
    <t>MARADVÁNY ÖSSZEGZŐ SOR</t>
  </si>
  <si>
    <t>Bevételátadás belső működésre, idei forrás</t>
  </si>
  <si>
    <t>Bevételátadás belső működésre, idei forrás, saját bevétel</t>
  </si>
  <si>
    <t>Bevételátadás belső működésre, idei forrás, támogatás</t>
  </si>
  <si>
    <t>U-s munkaszámokon átfordult maradvány</t>
  </si>
  <si>
    <t>FIKP</t>
  </si>
  <si>
    <t>TEKP</t>
  </si>
  <si>
    <t>Átoktatás átvétel, egyéb finanszírozású bevétel felosztása általános munkaszámról intézetekre / tanszékekre</t>
  </si>
  <si>
    <t>NEM TERVEZENDŐ</t>
  </si>
  <si>
    <t>Átoktatás átvétel, Stipendium Hungaricum támogatás felosztása hivatalokról intézetekre / tanszékekre</t>
  </si>
  <si>
    <t>Savaria Egyetemi Központ Könyvtár</t>
  </si>
  <si>
    <t>Trefort Ágoston Gyakorlóiskola</t>
  </si>
  <si>
    <t>SEK</t>
  </si>
  <si>
    <t>Összeg / KARI főcsoport ÖSSZESEN</t>
  </si>
  <si>
    <t>Összeg / TERVEZÉS ÖSSZESEN (karon kívülre átadásnál 0)</t>
  </si>
  <si>
    <t>18. a)</t>
  </si>
  <si>
    <t>18. b)</t>
  </si>
  <si>
    <t>18. c)</t>
  </si>
  <si>
    <t>Belföldi és külföldi folyóiratra átrendezés</t>
  </si>
  <si>
    <t>EISZ kari részre átrendezés</t>
  </si>
  <si>
    <t>Tárgyévi közterületesítés miatti átrendezés</t>
  </si>
  <si>
    <t>Kötelezően tervezendő műszak, energia, üzemeltetés (közterületesítés nélkül)</t>
  </si>
  <si>
    <t>IK SZH</t>
  </si>
  <si>
    <t>PPK SZH</t>
  </si>
  <si>
    <t>TÁTK SZH</t>
  </si>
  <si>
    <t>Stipendium Hungaricum képzési támogatás felosztása hivatalokról intézetekre / tanszékekre</t>
  </si>
  <si>
    <t>Stipendium Hungaricum képzési támogatás felosztása általános munkaszámról intézetekre / tanszékekre</t>
  </si>
  <si>
    <t>Kiadás 2.a) összesen</t>
  </si>
  <si>
    <t>Keresztfinanszírozás előtti egyenleg, maradvány</t>
  </si>
  <si>
    <t>Keresztfinanszírozás előtti egyenleg, összesen</t>
  </si>
  <si>
    <t>Bevételátadás üzemeltetési kiadásokra, összesen</t>
  </si>
  <si>
    <t>Bevételátadás üzemeltetési kiadásokra, saját bevétel</t>
  </si>
  <si>
    <t>Bevételátadás üzemeltetési kiadásokra, támogatás</t>
  </si>
  <si>
    <t>2.A ÖSSZEGEI</t>
  </si>
  <si>
    <t>K2A</t>
  </si>
  <si>
    <t>B2A</t>
  </si>
  <si>
    <t>BKÉ</t>
  </si>
  <si>
    <t>Maradvány forrás összesen</t>
  </si>
  <si>
    <t>B + űrlapsorszámos B2A</t>
  </si>
  <si>
    <t>Informatikai kiadások, idei forrás, összesen</t>
  </si>
  <si>
    <t>Informatikai kiadások, idei forrás, személyi</t>
  </si>
  <si>
    <t>Informatikai kiadások, idei forrás, dologi</t>
  </si>
  <si>
    <t>Üzemeltetési kiadások, idei forrás, összesen</t>
  </si>
  <si>
    <t>Üzemeltetési kiadások, idei forrás, dologi</t>
  </si>
  <si>
    <t>Üzemeltetési kiadások, idei forrás, személyi</t>
  </si>
  <si>
    <t>Kari kiválósági dologi kiadások</t>
  </si>
  <si>
    <t>Kari kiválósági kiadások, idei forrás összesen</t>
  </si>
  <si>
    <t>Tervezett kiadás maradványból összesen</t>
  </si>
  <si>
    <t>Tervezett kiadás mindösszesen</t>
  </si>
  <si>
    <t>TERVEZETT</t>
  </si>
  <si>
    <t>Kari kiválósági -1,5 %, saját bevétel</t>
  </si>
  <si>
    <t>Kari kiválósági -1,5 %, támogatás</t>
  </si>
  <si>
    <t>Bevételátadás EISZ kari rész, saját bevétel</t>
  </si>
  <si>
    <t>Bevételátadás EISZ kari rész, támogatás</t>
  </si>
  <si>
    <t>Tárgyévi közterületesítés miatti átrendezés, saját bevétel</t>
  </si>
  <si>
    <t>Tárgyévi közterületesítés miatti átrendezés, támogatás</t>
  </si>
  <si>
    <t>Üzemeltetési dologi kiadások</t>
  </si>
  <si>
    <t>Üzemeltetési személyi kiadások</t>
  </si>
  <si>
    <t>Informatikai dologi kiadások</t>
  </si>
  <si>
    <t>Informatikai személyi kiadások</t>
  </si>
  <si>
    <t>Kari kiválósági kiadások, maradvány</t>
  </si>
  <si>
    <t>Kari kiválósági személyi kiadások, maradvány</t>
  </si>
  <si>
    <t>Kari kiválósági dologi kiadások, maradvány</t>
  </si>
  <si>
    <t>Kari kiválósági dologi kiadások, idei forrás</t>
  </si>
  <si>
    <t>Kari kiválósági személyi kiadások, idei forrás</t>
  </si>
  <si>
    <t>Sor neve</t>
  </si>
  <si>
    <t>Kari Tanács B/K</t>
  </si>
  <si>
    <t>Dologi kiadások (üzemeltetetés és informatika nélkül)</t>
  </si>
  <si>
    <t>Belső keresztfinanszírozás, saját bevétel</t>
  </si>
  <si>
    <t>Belső keresztfinanszírozás, támogatás</t>
  </si>
  <si>
    <t>Ö</t>
  </si>
  <si>
    <t>31. Belső keresztfinanszírozás összesen</t>
  </si>
  <si>
    <t>2.a melléklet sorszáma</t>
  </si>
  <si>
    <t>Kari Tanács sorszám</t>
  </si>
  <si>
    <t>Személyi kiadások (üzemeltetetés és informatika nélkül)</t>
  </si>
  <si>
    <t>41. a)</t>
  </si>
  <si>
    <t>41. b)</t>
  </si>
  <si>
    <t>42. a)</t>
  </si>
  <si>
    <t>42. b)</t>
  </si>
  <si>
    <t>43. a)</t>
  </si>
  <si>
    <t>43. b)</t>
  </si>
  <si>
    <t>44. a)</t>
  </si>
  <si>
    <t>44. b)</t>
  </si>
  <si>
    <t>Kari kiválósági elvonás még nem ittlévő bevételekből -1,5 % TÁRGYÉVI FORRÁSBÓL</t>
  </si>
  <si>
    <t>Kari kiválósági elvonás még nem ittlévő bevételekből -1,5 % MARADVÁNY FORRÁSBÓL</t>
  </si>
  <si>
    <t>Karnál kiválósági visszahagyás +1,5 % TÁRGYÉVI FORRÁSBÓL</t>
  </si>
  <si>
    <t>Karnál kiválósági visszahagyás +1,5 % MARADVÁNY FORRÁSBÓL</t>
  </si>
  <si>
    <t>Belső keresztfinanszírozás, maradvány</t>
  </si>
  <si>
    <t>Szakmai gyakorlatok és terepgyakorlatok kiadásai, idei forrás, összesen</t>
  </si>
  <si>
    <t>Szakmai gyakorlatok és terepgyakorlatok kiadásai, idei forrás, személyi</t>
  </si>
  <si>
    <t>Szakmai gyakorlatok és terepgyakorlatok kiadásai, idei forrás, dologi</t>
  </si>
  <si>
    <t>űrlapsor szerinti bontás külön tervezendő</t>
  </si>
  <si>
    <t>Szakmai gyakorlatok és terepgyakorlatok kiadásai, maradvány, összesen</t>
  </si>
  <si>
    <t>Szakmai gyakorlatok és terepgyakorlatok kiadásai, maradvány, személyi</t>
  </si>
  <si>
    <t>Szakmai gyakorlatok és terepgyakorlatok kiadásai, maradvány, dologi</t>
  </si>
  <si>
    <t>Kiadások célfeladatokra (átfutó), maradvány, összesen</t>
  </si>
  <si>
    <t>Kiadások célfeladatokra (átfutó), maradvány, személyi</t>
  </si>
  <si>
    <t>Kiadások célfeladatokra (átfutó), maradvány, dologi</t>
  </si>
  <si>
    <t>Kiadások célfeladatokra (átfutó), idei forrás, összesen</t>
  </si>
  <si>
    <t>Kiadások célfeladatokra (átfutó), idei forrás, személyi</t>
  </si>
  <si>
    <t>Kiadások célfeladatokra (átfutó), idei forrás, dologi</t>
  </si>
  <si>
    <t>PALYREZSI</t>
  </si>
  <si>
    <t xml:space="preserve">SZOCHO átadás </t>
  </si>
  <si>
    <t>ÁKTH SZH</t>
  </si>
  <si>
    <t>Általános Gyógypedagógiai Intézet</t>
  </si>
  <si>
    <t>Atipikus Viselkedés és Kogníció Gyógypedagógiai Intézet</t>
  </si>
  <si>
    <t>Fogyatékosság és Társadalmi Részvétel Intézet</t>
  </si>
  <si>
    <t>Gyógypedagógiai Módszertani és Rehabilitációs Intézet</t>
  </si>
  <si>
    <t>Gyógypedagógiai Pszichológiai Intézet</t>
  </si>
  <si>
    <t>Gyógypedagógiai Továbbképző Központ</t>
  </si>
  <si>
    <t>Illyés Sándor Kutatóközpont</t>
  </si>
  <si>
    <t>Kari Könyvtár és Gyógypedagógia-történeti Gyűjtemény</t>
  </si>
  <si>
    <t>Szakmai Szolgáltató Központ</t>
  </si>
  <si>
    <t>Kötelezően tervezendő informatikai kiadások - IIG</t>
  </si>
  <si>
    <t>Trefort kert - MÜFIG</t>
  </si>
  <si>
    <t>Angol-Amerikai Intézet</t>
  </si>
  <si>
    <t>Filozófia Intézet</t>
  </si>
  <si>
    <t>Germanisztikai Intézet</t>
  </si>
  <si>
    <t>Könyvtár- és Információtudományi Intézet</t>
  </si>
  <si>
    <t>Magyar Irodalom- és Kultúratudományi Intézet</t>
  </si>
  <si>
    <t>Magyar Nyelvtudományi és Finnugor Intézet</t>
  </si>
  <si>
    <t>Művészetelméleti és Médiakutatási Intézet</t>
  </si>
  <si>
    <t>Művészettörténeti Intézet</t>
  </si>
  <si>
    <t>Néprajzi Intézet</t>
  </si>
  <si>
    <t>Orientalisztikai Intézet</t>
  </si>
  <si>
    <t>Ókortudományi Intézet</t>
  </si>
  <si>
    <t>Régészettudományi Intézet</t>
  </si>
  <si>
    <t>Romanisztikai Intézet</t>
  </si>
  <si>
    <t>2020 évi terv létszám</t>
  </si>
  <si>
    <t>Szláv és Balti Filológiai Intézet</t>
  </si>
  <si>
    <t>Távol-keleti Intézet</t>
  </si>
  <si>
    <t>Történeti Intézet</t>
  </si>
  <si>
    <t>Nyelvi Közvetítés Intézete</t>
  </si>
  <si>
    <t>Művészetközvetítő és Zenei Intézet</t>
  </si>
  <si>
    <t>Doktori Iroda</t>
  </si>
  <si>
    <t>Nk-i Kapcsolatok Irodája</t>
  </si>
  <si>
    <t>2020 évi terv bértömeg</t>
  </si>
  <si>
    <t>Tervezési egység 2020</t>
  </si>
  <si>
    <t>BTK általános munkaszám</t>
  </si>
  <si>
    <t>Szervezet</t>
  </si>
  <si>
    <t>Bevételi egyenleg II. (Bevételi egyenleg I. + maradvány és korrekciói)</t>
  </si>
  <si>
    <t>KIADÁSOK ÖSSZESEN</t>
  </si>
  <si>
    <t>Oktatási egységek összesen</t>
  </si>
  <si>
    <t>Bevétel átrendezések</t>
  </si>
  <si>
    <t>negatív esetén forrásátadás</t>
  </si>
  <si>
    <t>Bevételátadás informatikai kiadásokra - visszahagyás</t>
  </si>
  <si>
    <t>Bevételátadás üzemeltetési kiadásokra - visszahagyás</t>
  </si>
  <si>
    <t>(Több tétel)</t>
  </si>
  <si>
    <t>I.</t>
  </si>
  <si>
    <t>II.</t>
  </si>
  <si>
    <t>III.</t>
  </si>
  <si>
    <t>IV.</t>
  </si>
  <si>
    <t>V.</t>
  </si>
  <si>
    <t>B1.b.</t>
  </si>
  <si>
    <t xml:space="preserve">B2.a. </t>
  </si>
  <si>
    <t xml:space="preserve">B2.b. </t>
  </si>
  <si>
    <t xml:space="preserve">B5. </t>
  </si>
  <si>
    <t xml:space="preserve">B3.a. </t>
  </si>
  <si>
    <t xml:space="preserve">B3.b. </t>
  </si>
  <si>
    <t>B.I.</t>
  </si>
  <si>
    <t xml:space="preserve">B8. </t>
  </si>
  <si>
    <t xml:space="preserve">B9. </t>
  </si>
  <si>
    <t xml:space="preserve">B10. </t>
  </si>
  <si>
    <t xml:space="preserve">B11. </t>
  </si>
  <si>
    <t xml:space="preserve">B12. </t>
  </si>
  <si>
    <t xml:space="preserve">B15. </t>
  </si>
  <si>
    <t xml:space="preserve">B16. </t>
  </si>
  <si>
    <t xml:space="preserve">B17. </t>
  </si>
  <si>
    <t xml:space="preserve">B19. </t>
  </si>
  <si>
    <t>B.II.</t>
  </si>
  <si>
    <t xml:space="preserve">B20. </t>
  </si>
  <si>
    <t>B.III.</t>
  </si>
  <si>
    <t xml:space="preserve">B26. </t>
  </si>
  <si>
    <t xml:space="preserve">B27. </t>
  </si>
  <si>
    <t xml:space="preserve">B28. </t>
  </si>
  <si>
    <t>B.IV.</t>
  </si>
  <si>
    <t xml:space="preserve">B29. </t>
  </si>
  <si>
    <t>K1.a.</t>
  </si>
  <si>
    <t xml:space="preserve">K2.a. </t>
  </si>
  <si>
    <t>K2.b.</t>
  </si>
  <si>
    <t>K1.b.</t>
  </si>
  <si>
    <t>K2.d.</t>
  </si>
  <si>
    <t>K1.c.</t>
  </si>
  <si>
    <t>K2.e.</t>
  </si>
  <si>
    <t xml:space="preserve">K1.d. </t>
  </si>
  <si>
    <t>K2.f.</t>
  </si>
  <si>
    <t>K.V.</t>
  </si>
  <si>
    <t>Ö1.</t>
  </si>
  <si>
    <t>Ö2.</t>
  </si>
  <si>
    <t>Ö5.</t>
  </si>
  <si>
    <t>Ö3.</t>
  </si>
  <si>
    <t>Ö4.</t>
  </si>
  <si>
    <t>Ö6.</t>
  </si>
  <si>
    <t>Ö7.</t>
  </si>
  <si>
    <t>Átoktatással csökkentett képzési támogatás</t>
  </si>
  <si>
    <t>Átoktatással csökkentett önköltséges képzési bevétel</t>
  </si>
  <si>
    <t>B1a.</t>
  </si>
  <si>
    <t>Átoktatással csökkentett Stipendium Hungaricum képzési támogatás</t>
  </si>
  <si>
    <t>Átoktatással csökkentett egyéb finanszírozású képzési bevétel</t>
  </si>
  <si>
    <t>Stipendium Hungaricum képzési támogatás</t>
  </si>
  <si>
    <t>Képzési támogatás</t>
  </si>
  <si>
    <t>Önköltséges képzési bevétel</t>
  </si>
  <si>
    <t>Egyéb finanszírozású képzési bevétel</t>
  </si>
  <si>
    <t>B32.</t>
  </si>
  <si>
    <t>Angol Nyelv és Irodalom Tanszék</t>
  </si>
  <si>
    <t>Fizikai Tanszék</t>
  </si>
  <si>
    <t>Földrajzi Tanszék</t>
  </si>
  <si>
    <t>Kémiai Tanszék</t>
  </si>
  <si>
    <t>Magyar Irodalomtudományi Tanszék</t>
  </si>
  <si>
    <t>Magyar Nyelvtudományi Tanszék</t>
  </si>
  <si>
    <t>Matematikai Tanszék</t>
  </si>
  <si>
    <t>Német Nyelv és Irodalom Tanszék</t>
  </si>
  <si>
    <t>Szlavisztika Tanszék</t>
  </si>
  <si>
    <t>Történelem Tanszék</t>
  </si>
  <si>
    <t>Vizuális Művészeti Tanszék</t>
  </si>
  <si>
    <t>Zenepedagógiai Tanszék</t>
  </si>
  <si>
    <t>Igazgatói Hivatal</t>
  </si>
  <si>
    <t>16.=14.-3.</t>
  </si>
  <si>
    <t>8-as Szombathely</t>
  </si>
  <si>
    <t>B13.</t>
  </si>
  <si>
    <t>Kiválósági ösztöndíj</t>
  </si>
  <si>
    <t>K16601/17</t>
  </si>
  <si>
    <t>KOZTERSZH</t>
  </si>
  <si>
    <t>Egyéb  célfeladataok</t>
  </si>
  <si>
    <t>Pedagógiai és Pszichológiai Intézet</t>
  </si>
  <si>
    <t>B131SSZPI</t>
  </si>
  <si>
    <t>B0390</t>
  </si>
  <si>
    <t>Sporttudományi Intézet</t>
  </si>
  <si>
    <t>B131SSZSI</t>
  </si>
  <si>
    <t>B13101/17</t>
  </si>
  <si>
    <t>Affektív Pszichológia Tanszék</t>
  </si>
  <si>
    <t>Ember–Környezet Tranzakció Intézet</t>
  </si>
  <si>
    <t>Életvezetési Tanácsadó</t>
  </si>
  <si>
    <t>Egészségfejlesztési és Sporttudományi Intézet</t>
  </si>
  <si>
    <t>Fejlődés- és Klinikai Gyermekpszichológia Tanszék</t>
  </si>
  <si>
    <t>Felnőttképzés-kutatási és Tudásmenedzsment Intézet</t>
  </si>
  <si>
    <t>Szervezet- és Vezetéspszichológia Tanszék</t>
  </si>
  <si>
    <t>Interkulturális Pszichológiai és Pedagógiai Intézet</t>
  </si>
  <si>
    <t>Klinikai Pszichológia és Addiktológia Tanszék</t>
  </si>
  <si>
    <t>Kognitív Pszichológia Tanszék</t>
  </si>
  <si>
    <t>Neveléstudományi Intézet</t>
  </si>
  <si>
    <t>Pszichológiai Intézet</t>
  </si>
  <si>
    <t>Tanácsadás- és Iskolapszichológia Tanszék</t>
  </si>
  <si>
    <t>Történeti Szociálpszichológiai Szakgyűjtemény</t>
  </si>
  <si>
    <t>Személyiség- és Egészségpszichológia Tanszék</t>
  </si>
  <si>
    <t>Szociálpszichológia Tanszék</t>
  </si>
  <si>
    <t>T BDPK keresztfinanszírozás</t>
  </si>
  <si>
    <t>SB BDPK keresztfinanszírozás</t>
  </si>
  <si>
    <t>B0001</t>
  </si>
  <si>
    <t>USZKAROPPK</t>
  </si>
  <si>
    <t>B39019/19</t>
  </si>
  <si>
    <t>SEK Keresztfinansz.</t>
  </si>
  <si>
    <t>K07101/18</t>
  </si>
  <si>
    <t>B.VI.</t>
  </si>
  <si>
    <t>VI.</t>
  </si>
  <si>
    <t>Bevétel</t>
  </si>
  <si>
    <t>ÖSSZESEN</t>
  </si>
  <si>
    <t>Belső keresztfinanszírozás szükséglet összesen</t>
  </si>
  <si>
    <t>Ellenőrzés Főtábláról</t>
  </si>
  <si>
    <t xml:space="preserve"> </t>
  </si>
  <si>
    <t>Oktatási-kutatási egységek összesen</t>
  </si>
  <si>
    <t>UIZABELLA</t>
  </si>
  <si>
    <t>UDAMPPK</t>
  </si>
  <si>
    <t>UBOG10APPK</t>
  </si>
  <si>
    <t>UBOG10BPPK</t>
  </si>
  <si>
    <t>UMERNOKPPK</t>
  </si>
  <si>
    <t>UTUSKECS</t>
  </si>
  <si>
    <t>Összeg / Pedagógiai és Pszichológiai Intézet</t>
  </si>
  <si>
    <t>Összeg / Sporttudományi Intézet</t>
  </si>
  <si>
    <t>Összeg / PPK Általános</t>
  </si>
  <si>
    <t>Értékek</t>
  </si>
  <si>
    <t>Összeg / Képzési munkaszámok</t>
  </si>
  <si>
    <t>Összeg / Üzemeltetés</t>
  </si>
  <si>
    <t>Összeg / Kari kiválósági munkaszám</t>
  </si>
  <si>
    <t>Összeg / Közterületesítés különbözet</t>
  </si>
  <si>
    <t>Összeg / ÁKTH SZH</t>
  </si>
  <si>
    <t xml:space="preserve">Összeg / SZOCHO átadás </t>
  </si>
  <si>
    <t>Összeg / Kiválósági Alap 0,5%</t>
  </si>
  <si>
    <t>Összeg / Kiválósági Alap 5%</t>
  </si>
  <si>
    <t>Összeg / Szhely. tanárképzés gyakorlat</t>
  </si>
  <si>
    <t>Összeg / Átoktatás bevételből</t>
  </si>
  <si>
    <t>Összeg / Átoktatás támogatásból</t>
  </si>
  <si>
    <t>Összeg / Átoktatás stipendiumból</t>
  </si>
  <si>
    <t>Összeg / Átoktatás egyéb</t>
  </si>
  <si>
    <t>Összeg / Kiválósági ösztöndíj</t>
  </si>
  <si>
    <t>Összeg / SEK Keresztfinansz.</t>
  </si>
  <si>
    <t>MINDÖSSZESEN</t>
  </si>
  <si>
    <t>bizonylatok sorszáma: 8560, 8561, 8602</t>
  </si>
  <si>
    <t>bizonylat sorszáma: 8655</t>
  </si>
  <si>
    <t>bizonylatok sorszáma: 8562, 8563, 8564, 8567, 8568, 8571, 8572</t>
  </si>
  <si>
    <t>Épületkód</t>
  </si>
  <si>
    <t>EA100</t>
  </si>
  <si>
    <t>EA200</t>
  </si>
  <si>
    <t>EA300</t>
  </si>
  <si>
    <t>EA350</t>
  </si>
  <si>
    <t>EA400</t>
  </si>
  <si>
    <t>EA500</t>
  </si>
  <si>
    <t>EA600</t>
  </si>
  <si>
    <t>EA700</t>
  </si>
  <si>
    <t>EA900</t>
  </si>
  <si>
    <t>EB100</t>
  </si>
  <si>
    <t>EB100P</t>
  </si>
  <si>
    <t>EB160</t>
  </si>
  <si>
    <t>EB200</t>
  </si>
  <si>
    <t>EB300</t>
  </si>
  <si>
    <t>EB400</t>
  </si>
  <si>
    <t>EB950</t>
  </si>
  <si>
    <t>EC200</t>
  </si>
  <si>
    <t>EC400</t>
  </si>
  <si>
    <t>EC500</t>
  </si>
  <si>
    <t>ED100</t>
  </si>
  <si>
    <t>ED200</t>
  </si>
  <si>
    <t>ED300</t>
  </si>
  <si>
    <t>ED500</t>
  </si>
  <si>
    <t>ED600</t>
  </si>
  <si>
    <t>EE100</t>
  </si>
  <si>
    <t>EE200</t>
  </si>
  <si>
    <t>EE300</t>
  </si>
  <si>
    <t>EE400</t>
  </si>
  <si>
    <t>EE500</t>
  </si>
  <si>
    <t>EE710</t>
  </si>
  <si>
    <t>EE720</t>
  </si>
  <si>
    <t>EE730</t>
  </si>
  <si>
    <t>EE740</t>
  </si>
  <si>
    <t>EF100</t>
  </si>
  <si>
    <t>EF200</t>
  </si>
  <si>
    <t>EF300</t>
  </si>
  <si>
    <t>EF400</t>
  </si>
  <si>
    <t>EF500</t>
  </si>
  <si>
    <t>EF600</t>
  </si>
  <si>
    <t>EF700</t>
  </si>
  <si>
    <t>EF800</t>
  </si>
  <si>
    <t>EF900</t>
  </si>
  <si>
    <t>EFA00</t>
  </si>
  <si>
    <t>EFB00</t>
  </si>
  <si>
    <t>EG100</t>
  </si>
  <si>
    <t>EG200</t>
  </si>
  <si>
    <t>EH110</t>
  </si>
  <si>
    <t>EH120</t>
  </si>
  <si>
    <t>EH140</t>
  </si>
  <si>
    <t>EH320</t>
  </si>
  <si>
    <t>EI210</t>
  </si>
  <si>
    <t>EI220</t>
  </si>
  <si>
    <t>EI230</t>
  </si>
  <si>
    <t>EI300</t>
  </si>
  <si>
    <t>EI400</t>
  </si>
  <si>
    <t>EI500</t>
  </si>
  <si>
    <t>EJ100</t>
  </si>
  <si>
    <t>ES100</t>
  </si>
  <si>
    <t>ES140</t>
  </si>
  <si>
    <t>ES160</t>
  </si>
  <si>
    <t>ES170</t>
  </si>
  <si>
    <t>ES200</t>
  </si>
  <si>
    <t>ES310</t>
  </si>
  <si>
    <t>ES320</t>
  </si>
  <si>
    <t>ES330</t>
  </si>
  <si>
    <t>USZERB21KP</t>
  </si>
  <si>
    <t>UKECSKEAJK</t>
  </si>
  <si>
    <t>UKECSKEKP</t>
  </si>
  <si>
    <t>UKECSKEKOZ</t>
  </si>
  <si>
    <t>UKECSKEIN</t>
  </si>
  <si>
    <t>UEGYET1KP</t>
  </si>
  <si>
    <t>UEGYET1AJK</t>
  </si>
  <si>
    <t>UEGYET5</t>
  </si>
  <si>
    <t>UFERENCIKP</t>
  </si>
  <si>
    <t>UFERENCIKO</t>
  </si>
  <si>
    <t>USZERB3</t>
  </si>
  <si>
    <t>UPAPN458</t>
  </si>
  <si>
    <t>UPAPN4GIMI</t>
  </si>
  <si>
    <t>UPAPN4KOLL</t>
  </si>
  <si>
    <t>UTREFOBTK</t>
  </si>
  <si>
    <t>UTREFOKONF</t>
  </si>
  <si>
    <t>UTREFOFRAN</t>
  </si>
  <si>
    <t>UTREFOKP</t>
  </si>
  <si>
    <t>UTREFOGTI</t>
  </si>
  <si>
    <t>UTREFOEH</t>
  </si>
  <si>
    <t>UTREFOPPP</t>
  </si>
  <si>
    <t>UPUSKIN9</t>
  </si>
  <si>
    <t>UTREF858</t>
  </si>
  <si>
    <t>UTREF8GI</t>
  </si>
  <si>
    <t>UBAROSS62</t>
  </si>
  <si>
    <t>URAKOCZI7</t>
  </si>
  <si>
    <t>UAJTOSI</t>
  </si>
  <si>
    <t>UCHAZAR14</t>
  </si>
  <si>
    <t>UCHAZAR58</t>
  </si>
  <si>
    <t>UCHAZARGI</t>
  </si>
  <si>
    <t>UVEZER</t>
  </si>
  <si>
    <t>UPAZMTTK</t>
  </si>
  <si>
    <t>UPAZMIK</t>
  </si>
  <si>
    <t>UPAZMTATK</t>
  </si>
  <si>
    <t>UBOG10AKP</t>
  </si>
  <si>
    <t>UBOG10AIK</t>
  </si>
  <si>
    <t>UMERNOKKP</t>
  </si>
  <si>
    <t>UBOG10BKP</t>
  </si>
  <si>
    <t>UMEN12</t>
  </si>
  <si>
    <t>UMEN11TKK</t>
  </si>
  <si>
    <t>UMEN11KP</t>
  </si>
  <si>
    <t>UMEN11BTK</t>
  </si>
  <si>
    <t>UDAYKA</t>
  </si>
  <si>
    <t>UNAGYTET</t>
  </si>
  <si>
    <t>UNANDKOLL</t>
  </si>
  <si>
    <t>UNANDILLYE</t>
  </si>
  <si>
    <t>UNANDBOLYA</t>
  </si>
  <si>
    <t>UNANDANGEL</t>
  </si>
  <si>
    <t>UPECSMASZ</t>
  </si>
  <si>
    <t>USZEGMASZ</t>
  </si>
  <si>
    <t>UILLESFUV</t>
  </si>
  <si>
    <t>UGODFUV</t>
  </si>
  <si>
    <t>USZSZIHGAO</t>
  </si>
  <si>
    <t>UVISEGRAD</t>
  </si>
  <si>
    <t>UBKENESE</t>
  </si>
  <si>
    <t>UMVASAR</t>
  </si>
  <si>
    <t>UMAGLODKP</t>
  </si>
  <si>
    <t>UMAGLODKO</t>
  </si>
  <si>
    <t>UMAGLODLEV</t>
  </si>
  <si>
    <t>UKEREKES</t>
  </si>
  <si>
    <t>UVIZISPORT</t>
  </si>
  <si>
    <t>UBFURED</t>
  </si>
  <si>
    <t>UTATA</t>
  </si>
  <si>
    <t>UECSERI</t>
  </si>
  <si>
    <t>UDAMBGGYK</t>
  </si>
  <si>
    <t>UDAMKOLL</t>
  </si>
  <si>
    <t>UDAMKP</t>
  </si>
  <si>
    <t>UDAMALT14</t>
  </si>
  <si>
    <t>UDAMALT58</t>
  </si>
  <si>
    <t>UDAMGYOV</t>
  </si>
  <si>
    <t>UDAMGYOVKF</t>
  </si>
  <si>
    <t>UDAMGYOPSZ</t>
  </si>
  <si>
    <t>UKISSJ4214</t>
  </si>
  <si>
    <t>UKISSJ29</t>
  </si>
  <si>
    <t>UBEETHOVEN</t>
  </si>
  <si>
    <t>UHUSZT1</t>
  </si>
  <si>
    <t>UHUSZT2</t>
  </si>
  <si>
    <t>UHUSZT3</t>
  </si>
  <si>
    <t>USZEREMI</t>
  </si>
  <si>
    <t>UHAMZSABEG</t>
  </si>
  <si>
    <t>UREGIPOSTA</t>
  </si>
  <si>
    <t>USZEPU2</t>
  </si>
  <si>
    <t>USZKAROKON</t>
  </si>
  <si>
    <t>USZKAROLEV</t>
  </si>
  <si>
    <t>USZKAROBDP</t>
  </si>
  <si>
    <t>USZKAROKP</t>
  </si>
  <si>
    <t>USZKAROIK</t>
  </si>
  <si>
    <t>USZKAROTAT</t>
  </si>
  <si>
    <t>USZKARORPF</t>
  </si>
  <si>
    <t>USZKARORPS</t>
  </si>
  <si>
    <t>USZKARORPM</t>
  </si>
  <si>
    <t>USZBERZSEK</t>
  </si>
  <si>
    <t>USZGEFIN28</t>
  </si>
  <si>
    <t>USZGEFIN22</t>
  </si>
  <si>
    <t>USZBOLYA14</t>
  </si>
  <si>
    <t>USZBOLYA58</t>
  </si>
  <si>
    <t>USZBOLYAGI</t>
  </si>
  <si>
    <t>USZMAGYAR</t>
  </si>
  <si>
    <t>USZADY</t>
  </si>
  <si>
    <t>USZDEAK</t>
  </si>
  <si>
    <t>UKOZPONT</t>
  </si>
  <si>
    <t>R0260</t>
  </si>
  <si>
    <t>Trefort továbbsz. Bevétel</t>
  </si>
  <si>
    <t>288/350, 258/332</t>
  </si>
  <si>
    <t>Áfa</t>
  </si>
  <si>
    <t>bizonylat sorszáma: 8666</t>
  </si>
  <si>
    <t>1. KARI GAZDÁN BEVÉTELEK</t>
  </si>
  <si>
    <t>1.1. KÉPZÉSI BEVÉTELEK</t>
  </si>
  <si>
    <t>Képzés típusa</t>
  </si>
  <si>
    <t>Összesen (Analitika munkalapon megadottak szerint)</t>
  </si>
  <si>
    <t>Megjegyzés</t>
  </si>
  <si>
    <t>1.2. EGYÉB BEVÉTELEK</t>
  </si>
  <si>
    <t>2. NEM KARI KÖLTSÉGGAZDÁN KEZELT BEVÉTELEK</t>
  </si>
  <si>
    <t>2.1. ÁLLAMHÁZTARTÁSON BELÜLRŐL</t>
  </si>
  <si>
    <t>Támogató, projekt</t>
  </si>
  <si>
    <t>Működési célú támogatás</t>
  </si>
  <si>
    <t>Felhalmozási célú támogatás</t>
  </si>
  <si>
    <t>2.1. ÁLLAMHÁZTARTÁSON KÍVÜLRŐL</t>
  </si>
  <si>
    <t>Nem kari költséggazdán kezelt bevételek mindösszesen</t>
  </si>
  <si>
    <t>1.1. KÉPZÉSI BEVÉTELEK ANALITIKÁJA</t>
  </si>
  <si>
    <t>Képzés (szak) megnevezése</t>
  </si>
  <si>
    <t>Képzés rendje (tagozat)</t>
  </si>
  <si>
    <t>Tavaszi félév</t>
  </si>
  <si>
    <t>Őszi félév</t>
  </si>
  <si>
    <t>Hallgatói létszám</t>
  </si>
  <si>
    <t>Önköltség/félév/fő</t>
  </si>
  <si>
    <t>Nyitó létszám január 1-jén</t>
  </si>
  <si>
    <t xml:space="preserve">Személyi kör </t>
  </si>
  <si>
    <t xml:space="preserve">Oktató </t>
  </si>
  <si>
    <t xml:space="preserve">Kutató </t>
  </si>
  <si>
    <t>Tanár</t>
  </si>
  <si>
    <t xml:space="preserve">Közoktv. Tv. alá tartozó </t>
  </si>
  <si>
    <t xml:space="preserve">Közgyűjteményes és közalkalmazott </t>
  </si>
  <si>
    <t xml:space="preserve">Hallgatói jogviszonnyal ill. MT hatálya alá tartozó </t>
  </si>
  <si>
    <t>Megbízási jogviszonyban foglalkoztatott</t>
  </si>
  <si>
    <t xml:space="preserve">Önkéntes </t>
  </si>
  <si>
    <t>Mindösszesen</t>
  </si>
  <si>
    <t>A1</t>
  </si>
  <si>
    <t>A2</t>
  </si>
  <si>
    <t>A3</t>
  </si>
  <si>
    <t>A4</t>
  </si>
  <si>
    <t>A5 - A6</t>
  </si>
  <si>
    <t>A7 - A8</t>
  </si>
  <si>
    <t>M8</t>
  </si>
  <si>
    <t>Költségek tervezési egységek</t>
  </si>
  <si>
    <t>Fő</t>
  </si>
  <si>
    <t>FTE</t>
  </si>
  <si>
    <t>Oktatási-kutatási egységek</t>
  </si>
  <si>
    <t>Képzési utalványkódok</t>
  </si>
  <si>
    <t>Kari hivatalok</t>
  </si>
  <si>
    <t>Elszámolásköteles források</t>
  </si>
  <si>
    <t>Költségvetési tervezési egységek</t>
  </si>
  <si>
    <t>Munkaszám besorolás 
(funkcióterület alapján szűrendő)</t>
  </si>
  <si>
    <t>Bevétel elvonások karon kívülre</t>
  </si>
  <si>
    <t>Karon felhasználható bevétel összesen</t>
  </si>
  <si>
    <t>Kiadások</t>
  </si>
  <si>
    <t>Kari kiadások összesen</t>
  </si>
  <si>
    <t>Maradvány a következő évre</t>
  </si>
  <si>
    <t>Tárgyévi várható források</t>
  </si>
  <si>
    <t>Belső átcsoportosítások karon belül</t>
  </si>
  <si>
    <t>Tárgyévi forrás terhére kiadások</t>
  </si>
  <si>
    <t>Maradvány forrás terhére kiadások</t>
  </si>
  <si>
    <t>céltámogatás / pályázat</t>
  </si>
  <si>
    <t>Költhető + kötváll</t>
  </si>
  <si>
    <t>Személyi juttatások járulékkal</t>
  </si>
  <si>
    <t>Nem személyi jellegű kifizetés</t>
  </si>
  <si>
    <t>Szabad keret</t>
  </si>
  <si>
    <t>Munkaszám/ utalványkód</t>
  </si>
  <si>
    <t>Funkcióterület / körzet</t>
  </si>
  <si>
    <t>6. = 1.+..+5.</t>
  </si>
  <si>
    <t>7. a)</t>
  </si>
  <si>
    <t>7. b)</t>
  </si>
  <si>
    <t>7. c)</t>
  </si>
  <si>
    <t>7. d)</t>
  </si>
  <si>
    <t xml:space="preserve">7. </t>
  </si>
  <si>
    <t>8. = 7.-6.</t>
  </si>
  <si>
    <t>Pályázatok tételesen</t>
  </si>
  <si>
    <t>Pályázatok összesen</t>
  </si>
  <si>
    <t>Átfordult maradvány az előző évről
(SAP szabad keret)</t>
  </si>
  <si>
    <t>Alapilletmény</t>
  </si>
  <si>
    <t>Kompenzáció</t>
  </si>
  <si>
    <t>Kereset-, illetmény kiegészítés</t>
  </si>
  <si>
    <t>Pótlékok, helyettesítési díjak</t>
  </si>
  <si>
    <t>Munkábajárás költségtérítése</t>
  </si>
  <si>
    <t>Megbízási díjak</t>
  </si>
  <si>
    <t>Hallgatói, doktoranduszi, munkadíj</t>
  </si>
  <si>
    <t>Jutalom</t>
  </si>
  <si>
    <t>Jogviszony megszűnésével összefüggő juttatások</t>
  </si>
  <si>
    <t>Munkáltatót terhelő közterhek</t>
  </si>
  <si>
    <t>Bérek és közterhek  mindösszesen</t>
  </si>
  <si>
    <t>KORRIGÁLT EGYENLEG (KARI BELSŐ POZÍCIÓ)</t>
  </si>
  <si>
    <t xml:space="preserve">K </t>
  </si>
  <si>
    <t>Tervezett létszámbővülés</t>
  </si>
  <si>
    <t>Tervezett létszámcsökkenés</t>
  </si>
  <si>
    <t>Legfőbb kockázati tényezők
felsorolása</t>
  </si>
  <si>
    <t>Súlyozás indoka a lehetséges hatás mértéke alapján</t>
  </si>
  <si>
    <t>Alacsony
1</t>
  </si>
  <si>
    <t xml:space="preserve">
2</t>
  </si>
  <si>
    <t>Közepes
3</t>
  </si>
  <si>
    <t xml:space="preserve">
4</t>
  </si>
  <si>
    <t>Magas
5</t>
  </si>
  <si>
    <t>Tervezett intézkedés a kockázat mérséklésére</t>
  </si>
  <si>
    <t>BEKÖVETKEZÉS VALÓSZÍNŰSÉGE, GYAKORISÁGA
(Alacsony, Közepes, Magas)</t>
  </si>
  <si>
    <t>A-M</t>
  </si>
  <si>
    <t>A-A</t>
  </si>
  <si>
    <t>M-A</t>
  </si>
  <si>
    <t>EGYETEMRE GYAKOROLT HATÁS MÉRTÉKE
(Alacsony, Közepes, Magas)</t>
  </si>
  <si>
    <t>3. a) melléklet szerint</t>
  </si>
  <si>
    <t>Egyéb finanszírozású képzési költségvetés allokáció célszervezetre</t>
  </si>
  <si>
    <t>10. melléklet szerint</t>
  </si>
  <si>
    <t>14. d) melléklet szerint</t>
  </si>
  <si>
    <t>Béremelés 2021-2022 itt lévő része</t>
  </si>
  <si>
    <t>szükséglet 3. b) melléklet szerint</t>
  </si>
  <si>
    <t>14. a) melléklet</t>
  </si>
  <si>
    <t>12. c) melléklet</t>
  </si>
  <si>
    <t>12. c) mellékletben</t>
  </si>
  <si>
    <t>11. melléklet 16. oszlop ellentétes előjellel</t>
  </si>
  <si>
    <t>16. melléklet</t>
  </si>
  <si>
    <t>Elszámolás 1. melléklet szerint</t>
  </si>
  <si>
    <t>Elszámolás 3. b) melléklet szerint</t>
  </si>
  <si>
    <t>Elszámolás 2. a) melléklet szerint</t>
  </si>
  <si>
    <t>Elszámolás 3. C) melléklet</t>
  </si>
  <si>
    <t>Belföldi-külföldi folyóirat és EISZ  elszámolás</t>
  </si>
  <si>
    <t>25. és 28. oszlopok után</t>
  </si>
  <si>
    <t>29. a)</t>
  </si>
  <si>
    <t>29. b)</t>
  </si>
  <si>
    <t>Elszámolások utáni kari -1,5% maradványban elszámolva</t>
  </si>
  <si>
    <t>29. c)</t>
  </si>
  <si>
    <t>Karnál kari kiválósági +1,5% visszahagyás</t>
  </si>
  <si>
    <t>29. d)</t>
  </si>
  <si>
    <t>2021. évi TMA elszámolás (kifutó)</t>
  </si>
  <si>
    <t>Elszámolás 3 d) melléklet</t>
  </si>
  <si>
    <t>Elszámolás 3. a) melléklet szerint</t>
  </si>
  <si>
    <t>37. a)</t>
  </si>
  <si>
    <t>37. b)</t>
  </si>
  <si>
    <t>GTK felfutás hatás - 2022. tavaszán és őszén felvételre kerülő hallgatók becslésének 80%-a</t>
  </si>
  <si>
    <t>Stipendium Hungaricum költségtérítés célszervezetre (átoktatás után) - 2021 évi tény 85%-a</t>
  </si>
  <si>
    <t>Stipendium Hungaricum szervezési keret 2022 - 2021 évi tény 85%-a</t>
  </si>
  <si>
    <t>Kötelezően tervezendő telefon költség (2021. évi elszámolás összege alapján)</t>
  </si>
  <si>
    <t>Szakmai gyakorlatok és terepgyakorlatok (2021. évi igény alapján)</t>
  </si>
  <si>
    <t>Kifizetői 13 %-os SZOCHO</t>
  </si>
  <si>
    <t>ÁFA mentes számlázott(okt.kut.)szellemi tev.kiad.</t>
  </si>
  <si>
    <t>ÁFA-s számlázott(okt.kut.)szellemi tev.kiad.</t>
  </si>
  <si>
    <t>Szakmai szolg. tanfolyamok, továbbképzések</t>
  </si>
  <si>
    <t>E.műk.c.tám. KIVÁLÓSÁGI</t>
  </si>
  <si>
    <t>E.felhalm.tám. KIVÁLÓSÁGI</t>
  </si>
  <si>
    <t>SB Kiválósági átadása</t>
  </si>
  <si>
    <t>T Nemzetköziesítési feladatok</t>
  </si>
  <si>
    <t>R981632312</t>
  </si>
  <si>
    <t>332+333+334+335+336+337+338+339+340+341+342+343+344+345+346+347+348+349+350</t>
  </si>
  <si>
    <t>GTK</t>
  </si>
  <si>
    <t>B6. a</t>
  </si>
  <si>
    <t>B6.b</t>
  </si>
  <si>
    <t>B24.</t>
  </si>
  <si>
    <t xml:space="preserve">B25.a. </t>
  </si>
  <si>
    <t xml:space="preserve">B25.b. </t>
  </si>
  <si>
    <t xml:space="preserve">B30. </t>
  </si>
  <si>
    <t xml:space="preserve">B31. </t>
  </si>
  <si>
    <t>Belső működési átadás xy1</t>
  </si>
  <si>
    <t>kitöltés esetén át kell adni bizonylattal</t>
  </si>
  <si>
    <t>Belső működési átadás xy2</t>
  </si>
  <si>
    <t>Belső működési átadás xy3</t>
  </si>
  <si>
    <t>Belső működési átadás xy4</t>
  </si>
  <si>
    <t>Belső működési átadás xy5</t>
  </si>
  <si>
    <t>Bevételátadás folyóiratra, saját bevétel</t>
  </si>
  <si>
    <t>Bevételátadás folyóiratra, támogatás</t>
  </si>
  <si>
    <t>K04902/22</t>
  </si>
  <si>
    <t>Egyetemi kiválósági alap elvonás -0,5%</t>
  </si>
  <si>
    <t>Elszámolások utáni egyetemi kiválósági -0,5% maradványban elszámolva</t>
  </si>
  <si>
    <t>Egyetemi kiválósági alap elvonás nem ittlévő bevételekből -0,5% TÁRGYÉVI FORRÁSBÓL</t>
  </si>
  <si>
    <t>Egyetemi kiválósági alap elvonás nem ittlévő bevételekből -0,5% MARADVÁNY FORRÁSBÓL</t>
  </si>
  <si>
    <t>Egyetemi kiválósági alap elvonás nem ittlévő bevételekből -0,5%</t>
  </si>
  <si>
    <t>Mentorálási feladatok</t>
  </si>
  <si>
    <t>14. b) melléklet garantált bérminimum allokáció 2022</t>
  </si>
  <si>
    <t>Összeg / FTE szerinti Garantált bérminimum és 0100  Alapilletmény összesen különbözete (kimutatásban csak a negatívosokat szerepeltetjük)  (itt már  beszámítva a 2095 15% fenntartói illetmény emelés összege ) BR-BM</t>
  </si>
  <si>
    <t>2022 évi felmérés adatai (még itt nem lévő)</t>
  </si>
  <si>
    <t>2021 évi tény elszámolás</t>
  </si>
  <si>
    <t>2021 évi költségvetés allokáció (előző évek alapján)</t>
  </si>
  <si>
    <t>2022 évi forrás összesen</t>
  </si>
  <si>
    <t>2022 évben itt lévő előirányzat allokációja</t>
  </si>
  <si>
    <t>Pénzügyi központ</t>
  </si>
  <si>
    <t>Garantált bérminimumos</t>
  </si>
  <si>
    <t>Minimálbéres - "A"</t>
  </si>
  <si>
    <t>NOKS</t>
  </si>
  <si>
    <t>Garantált bérminimum</t>
  </si>
  <si>
    <t>Minimálbér</t>
  </si>
  <si>
    <t>A111SALKJ</t>
  </si>
  <si>
    <t>A111SBUNT</t>
  </si>
  <si>
    <t>A111SINYO</t>
  </si>
  <si>
    <t>A111SKOZJ</t>
  </si>
  <si>
    <t>A111SKRIM</t>
  </si>
  <si>
    <t>A111SPOLI</t>
  </si>
  <si>
    <t>A111SRJOJ</t>
  </si>
  <si>
    <t>A111SPEJT</t>
  </si>
  <si>
    <t>B111SBESI</t>
  </si>
  <si>
    <t>B111SFKTI</t>
  </si>
  <si>
    <t>B111SNEVT</t>
  </si>
  <si>
    <t>B111SPSZI</t>
  </si>
  <si>
    <t>AC4201/14</t>
  </si>
  <si>
    <t>AC9201/94</t>
  </si>
  <si>
    <t>C10902/21</t>
  </si>
  <si>
    <t>C111SANAM</t>
  </si>
  <si>
    <t>C111SFTKT</t>
  </si>
  <si>
    <t>C111SGERM</t>
  </si>
  <si>
    <t>C111SKOIN</t>
  </si>
  <si>
    <t>C111SLEKT</t>
  </si>
  <si>
    <t>C111SMANY</t>
  </si>
  <si>
    <t>C111SMIKI</t>
  </si>
  <si>
    <t>C111SMUMI</t>
  </si>
  <si>
    <t>C111SMUVT</t>
  </si>
  <si>
    <t>C111SNEPR</t>
  </si>
  <si>
    <t>C111SNKKI</t>
  </si>
  <si>
    <t>C111SOKOR</t>
  </si>
  <si>
    <t>C111SORIE</t>
  </si>
  <si>
    <t>C111SREGE</t>
  </si>
  <si>
    <t>C111STAV</t>
  </si>
  <si>
    <t>C111STORT</t>
  </si>
  <si>
    <t>C111SZENE</t>
  </si>
  <si>
    <t>C111SSZLA</t>
  </si>
  <si>
    <t>lektorok</t>
  </si>
  <si>
    <t>AC09</t>
  </si>
  <si>
    <t>C19011/21</t>
  </si>
  <si>
    <t>AC09 Összeg</t>
  </si>
  <si>
    <t>D11001/16</t>
  </si>
  <si>
    <t>D111SBIOL</t>
  </si>
  <si>
    <t>D111SFIZI</t>
  </si>
  <si>
    <t>D111SKTCE</t>
  </si>
  <si>
    <t>D111SMATE</t>
  </si>
  <si>
    <t>D151PITTK</t>
  </si>
  <si>
    <t>AD09</t>
  </si>
  <si>
    <t>D10901/17</t>
  </si>
  <si>
    <t>AD09 Összeg</t>
  </si>
  <si>
    <t>AE09</t>
  </si>
  <si>
    <t>E10902/16</t>
  </si>
  <si>
    <t>AE09 Összeg</t>
  </si>
  <si>
    <t>F111SEJPO</t>
  </si>
  <si>
    <t>F111SKANT</t>
  </si>
  <si>
    <t>F111SNTEU</t>
  </si>
  <si>
    <t>F111SSTAT</t>
  </si>
  <si>
    <t>F111STMOD</t>
  </si>
  <si>
    <t>F111SSZMU</t>
  </si>
  <si>
    <t>G111SATIV</t>
  </si>
  <si>
    <t>H10801/18</t>
  </si>
  <si>
    <t>H111SDIGI</t>
  </si>
  <si>
    <t>H111SNEVT</t>
  </si>
  <si>
    <t>H111STARS</t>
  </si>
  <si>
    <t>ES05</t>
  </si>
  <si>
    <t>S15101/16</t>
  </si>
  <si>
    <t>ES05 Összeg</t>
  </si>
  <si>
    <t>KK01</t>
  </si>
  <si>
    <t>KK01 Összeg</t>
  </si>
  <si>
    <t>K05003/20</t>
  </si>
  <si>
    <t>K05007/18</t>
  </si>
  <si>
    <t>KK07</t>
  </si>
  <si>
    <t>K07101/17</t>
  </si>
  <si>
    <t>KK07 Összeg</t>
  </si>
  <si>
    <t>KK08</t>
  </si>
  <si>
    <t>KK08 Összeg</t>
  </si>
  <si>
    <t>KK10</t>
  </si>
  <si>
    <t>K10401/21</t>
  </si>
  <si>
    <t>KK10 Összeg</t>
  </si>
  <si>
    <t>T11103/16</t>
  </si>
  <si>
    <t>T12103/16</t>
  </si>
  <si>
    <t>T12105/16</t>
  </si>
  <si>
    <t>T13101/16</t>
  </si>
  <si>
    <t>T13103/16</t>
  </si>
  <si>
    <t>T14103/16</t>
  </si>
  <si>
    <t>T16102/16</t>
  </si>
  <si>
    <t>T17102/16</t>
  </si>
  <si>
    <t>MT08</t>
  </si>
  <si>
    <t>T18101/16</t>
  </si>
  <si>
    <t>MT08 Összeg</t>
  </si>
  <si>
    <t>T19105/17</t>
  </si>
  <si>
    <t>T19107/17</t>
  </si>
  <si>
    <t>PH01</t>
  </si>
  <si>
    <t>PH1112/18</t>
  </si>
  <si>
    <t>PH1402/20</t>
  </si>
  <si>
    <t>PH01 Összeg</t>
  </si>
  <si>
    <t>PN01</t>
  </si>
  <si>
    <t>PH3333/94</t>
  </si>
  <si>
    <t>PN1106/17</t>
  </si>
  <si>
    <t>PNM003114</t>
  </si>
  <si>
    <t>PN1605/20</t>
  </si>
  <si>
    <t>PNM083809</t>
  </si>
  <si>
    <t>PN01 Összeg</t>
  </si>
  <si>
    <t>PN05</t>
  </si>
  <si>
    <t>PN5201/17</t>
  </si>
  <si>
    <t>PN6101/17</t>
  </si>
  <si>
    <t>PN6001/17</t>
  </si>
  <si>
    <t>PN05 Összeg</t>
  </si>
  <si>
    <t>PZ01</t>
  </si>
  <si>
    <t>PZ1102/20</t>
  </si>
  <si>
    <t>PZ1107/20</t>
  </si>
  <si>
    <t>PZ1123/18</t>
  </si>
  <si>
    <t>PZ1208/19</t>
  </si>
  <si>
    <t>PZ1211/20</t>
  </si>
  <si>
    <t>PZ1216/21</t>
  </si>
  <si>
    <t>PZ1217/18</t>
  </si>
  <si>
    <t>PZ1218/17</t>
  </si>
  <si>
    <t>PZ1218/19</t>
  </si>
  <si>
    <t>PZ1218/20</t>
  </si>
  <si>
    <t>PZ1219/19</t>
  </si>
  <si>
    <t>PZ1220/19</t>
  </si>
  <si>
    <t>PZ1221/21</t>
  </si>
  <si>
    <t>PZ1225/18</t>
  </si>
  <si>
    <t>PZ1232/18</t>
  </si>
  <si>
    <t>PZ01 Összeg</t>
  </si>
  <si>
    <t>RR02</t>
  </si>
  <si>
    <t>RR02 Összeg</t>
  </si>
  <si>
    <t>SB01</t>
  </si>
  <si>
    <t>SB01 Összeg</t>
  </si>
  <si>
    <t>SE01</t>
  </si>
  <si>
    <t>E13101/17</t>
  </si>
  <si>
    <t>E12901/17</t>
  </si>
  <si>
    <t>SE01 Összeg</t>
  </si>
  <si>
    <t>C131SNNYI</t>
  </si>
  <si>
    <t>Központi kezelés, ki nem osztott</t>
  </si>
  <si>
    <t>Az allokáció során nem kötelező a megjelölt, jogosult munkaszámra tenni az összeget</t>
  </si>
  <si>
    <t>AKTH besorolás</t>
  </si>
  <si>
    <t>Gazdálkodástudományi Kar</t>
  </si>
  <si>
    <t>SAP gazda</t>
  </si>
  <si>
    <t>SAP utalványkód</t>
  </si>
  <si>
    <t>Funkció-terület</t>
  </si>
  <si>
    <t>AI01</t>
  </si>
  <si>
    <t>I111</t>
  </si>
  <si>
    <t>R181</t>
  </si>
  <si>
    <t>R125</t>
  </si>
  <si>
    <t>BP</t>
  </si>
  <si>
    <t>SZHELY</t>
  </si>
  <si>
    <t>MENTES</t>
  </si>
  <si>
    <t>9 MELL</t>
  </si>
  <si>
    <t>MÜFIG</t>
  </si>
  <si>
    <t>Pályázatok és kiválósági</t>
  </si>
  <si>
    <t>EHÖK</t>
  </si>
  <si>
    <t>ÁKTH Budapest</t>
  </si>
  <si>
    <t>ÁKTH Szombathely</t>
  </si>
  <si>
    <t>Anyanyelvi lektorok</t>
  </si>
  <si>
    <t>Kulturális emelés fedezete (évközi módosítás)</t>
  </si>
  <si>
    <t>Szervezetnél kezelt oktatói béremelés és még nem itt lévő garantált bérminimum nélkül</t>
  </si>
  <si>
    <t>ÁKTH BP</t>
  </si>
  <si>
    <t>ÁKTH SZHELY</t>
  </si>
  <si>
    <t>3. a) melléklet -2022. évi képzési allokáció levezetése</t>
  </si>
  <si>
    <t>Egyéb képzési</t>
  </si>
  <si>
    <t>célszervezet szerint ITT LÉVŐ ELŐIRÁNYZAT</t>
  </si>
  <si>
    <t>célszervezet szerint MÉG ITT NEM LÉVŐ ELŐIRÁNYZAT</t>
  </si>
  <si>
    <t>BudapestEJC</t>
  </si>
  <si>
    <t>BudapestGTK</t>
  </si>
  <si>
    <t>NyíregyházaTTK</t>
  </si>
  <si>
    <t>Szeged</t>
  </si>
  <si>
    <t>SzegedBGGYK</t>
  </si>
  <si>
    <t>Admin kar szerint</t>
  </si>
  <si>
    <t>SZINT</t>
  </si>
  <si>
    <t>(mind)</t>
  </si>
  <si>
    <t>TANAR</t>
  </si>
  <si>
    <t>FINANSZIROZAS</t>
  </si>
  <si>
    <t>FINANSZIROZAS2</t>
  </si>
  <si>
    <t>Stipendium Hungaricum</t>
  </si>
  <si>
    <t>SZERVEZÉSI KERET</t>
  </si>
  <si>
    <t>K04901/22</t>
  </si>
  <si>
    <t>MÁR ITT LÉVŐ</t>
  </si>
  <si>
    <t>ITTNEMEI</t>
  </si>
  <si>
    <t>Összeg / BEVETEL</t>
  </si>
  <si>
    <t>Oszlopcímkék</t>
  </si>
  <si>
    <t>85 % tény</t>
  </si>
  <si>
    <t>2.a alapján</t>
  </si>
  <si>
    <t>Sorcímkék</t>
  </si>
  <si>
    <t>2020/21/2</t>
  </si>
  <si>
    <t>2021/22/1</t>
  </si>
  <si>
    <t>2021/22/2</t>
  </si>
  <si>
    <t>2022/23/1</t>
  </si>
  <si>
    <t>Költségtérítés</t>
  </si>
  <si>
    <t>Szervezési keret</t>
  </si>
  <si>
    <t>2.a. Bp</t>
  </si>
  <si>
    <t>2.a. Szh</t>
  </si>
  <si>
    <t>2.a összesen</t>
  </si>
  <si>
    <t>Szervezeti egység megnevezése</t>
  </si>
  <si>
    <t>Funkció
terület</t>
  </si>
  <si>
    <t xml:space="preserve">Pedagógiai és Pszichológiai Kar </t>
  </si>
  <si>
    <t>TÁTK- SEK Gazd.tud. Tsz.</t>
  </si>
  <si>
    <t>Berzsenyi Dániel Pedagógiai Központ</t>
  </si>
  <si>
    <t>Sporttud.I.-Szombathely</t>
  </si>
  <si>
    <t>SEK IK Műszaki Intézet</t>
  </si>
  <si>
    <t>Köznevelés</t>
  </si>
  <si>
    <t>Nem</t>
  </si>
  <si>
    <t>8-as Budapest</t>
  </si>
  <si>
    <t>EA001</t>
  </si>
  <si>
    <t>EB960</t>
  </si>
  <si>
    <t>EE900</t>
  </si>
  <si>
    <t>UKIRALYIKP</t>
  </si>
  <si>
    <t>UPAPN7KP</t>
  </si>
  <si>
    <t>URAKOCZI17</t>
  </si>
  <si>
    <t>UPAZMPPK</t>
  </si>
  <si>
    <t>UZAGRAB</t>
  </si>
  <si>
    <t>Ell.</t>
  </si>
  <si>
    <t>Tervűrlapsor megnevezése</t>
  </si>
  <si>
    <t>Forrás megjelölése</t>
  </si>
  <si>
    <t>Tervezendő összesen</t>
  </si>
  <si>
    <t>Ell.:</t>
  </si>
  <si>
    <t>Garantált bérminimum forrás</t>
  </si>
  <si>
    <t>15% emelés fedezete</t>
  </si>
  <si>
    <t>Üzemeltetésre átadandó</t>
  </si>
  <si>
    <t>Bevételek összesen</t>
  </si>
  <si>
    <t>12. a) melléklet - kari informatikai tervezett kiadások finanszírozása</t>
  </si>
  <si>
    <t>Személyi juttatások és járulékok</t>
  </si>
  <si>
    <t>Dologi kiadások bruttóban</t>
  </si>
  <si>
    <t>Beruházások bruttóban</t>
  </si>
  <si>
    <t>Összesen tervezendő *</t>
  </si>
  <si>
    <t>A15301/17</t>
  </si>
  <si>
    <t>B15301/17</t>
  </si>
  <si>
    <t>C15301/17</t>
  </si>
  <si>
    <t>D15301/17</t>
  </si>
  <si>
    <t>F15301/17</t>
  </si>
  <si>
    <t>G15301/17</t>
  </si>
  <si>
    <t>BGGyK</t>
  </si>
  <si>
    <t>H15301/17</t>
  </si>
  <si>
    <t>Dami</t>
  </si>
  <si>
    <t>* egy része finanszírozható a 14. d) mellékletben juttatott emelési forrásból</t>
  </si>
  <si>
    <t>Belföldi folyóirat rendelés</t>
  </si>
  <si>
    <t>Külföldi folyóirat rendelés</t>
  </si>
  <si>
    <t>Kar/Szervezeti egység</t>
  </si>
  <si>
    <t>Bárczi Gusztáv Gyakorlóiskola</t>
  </si>
  <si>
    <t>Gyertyánffy István Gyakorlóiskola</t>
  </si>
  <si>
    <t>Kőrösi Kollégium</t>
  </si>
  <si>
    <t>Bibó Kollégium</t>
  </si>
  <si>
    <t>Kalkulációban használt euro árfolyam 375 Ft / EUR</t>
  </si>
  <si>
    <t>Radnóti Miklós Gyakorlóiskola</t>
  </si>
  <si>
    <t>Bolyai János Gyak.Ált.Isk. és Gimn.</t>
  </si>
  <si>
    <t>Központi</t>
  </si>
  <si>
    <t>AJK</t>
  </si>
  <si>
    <t>20. melléklet - kiválósági támogatások kalkulációja 2022. évben</t>
  </si>
  <si>
    <r>
      <t xml:space="preserve">2021. évi TKP-NKA 1,7 Mrd második 50 %-os része (850mFt) - </t>
    </r>
    <r>
      <rPr>
        <b/>
        <sz val="11"/>
        <color rgb="FFFF0000"/>
        <rFont val="Calibri"/>
        <family val="2"/>
        <charset val="238"/>
        <scheme val="minor"/>
      </rPr>
      <t>MARADVÁNYBAN ELŐIRÁNYZATOSÍTVA, NEM KELL TERVEZNI</t>
    </r>
  </si>
  <si>
    <t>Támogatás 100%</t>
  </si>
  <si>
    <r>
      <t xml:space="preserve">2022.-2023. évi TKP - beérkezett 2021. év végén (250mFt + 916mFt) - </t>
    </r>
    <r>
      <rPr>
        <b/>
        <sz val="11"/>
        <color rgb="FFFF0000"/>
        <rFont val="Calibri"/>
        <family val="2"/>
        <charset val="238"/>
        <scheme val="minor"/>
      </rPr>
      <t>MARADVÁNYBAN ELŐIRÁNYZATOSÍTVA, NEM KELL TERVEZNI</t>
    </r>
  </si>
  <si>
    <t>KARON MARADÓ 21%</t>
  </si>
  <si>
    <t>Kiválósági Alap hozzájárulás összegyetemi források után 3% kari általános munkaszámról</t>
  </si>
  <si>
    <t>DTEKP2021</t>
  </si>
  <si>
    <t>2022. évi rész</t>
  </si>
  <si>
    <t>2023. évi rész</t>
  </si>
  <si>
    <r>
      <t xml:space="preserve">2022. évi TKP - beérkezett 2022. év elején (237,665mFt) - </t>
    </r>
    <r>
      <rPr>
        <b/>
        <sz val="11"/>
        <color rgb="FFFF0000"/>
        <rFont val="Calibri"/>
        <family val="2"/>
        <charset val="238"/>
        <scheme val="minor"/>
      </rPr>
      <t>2022. ÉVBEN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rgb="FFFF0000"/>
        <rFont val="Calibri"/>
        <family val="2"/>
        <charset val="238"/>
        <scheme val="minor"/>
      </rPr>
      <t>BEÉRKEZETT, ELŐIRÁNYZATOSÍTVA, NEM KELL TERVEZNI *</t>
    </r>
  </si>
  <si>
    <t>ETEKP2021</t>
  </si>
  <si>
    <t>ATEKP2021</t>
  </si>
  <si>
    <t>2021. évi új TKP összesen</t>
  </si>
  <si>
    <t>2022. évi új TKP összesen</t>
  </si>
  <si>
    <t>2023. évi új TKP összesen</t>
  </si>
  <si>
    <t>* 2. a) melléklet szerinti pozícióba csak ezen összegek számítanak be, a többi már a maradvány része</t>
  </si>
  <si>
    <t>Üzemeltetési kiadások Ft</t>
  </si>
  <si>
    <t>Közterületre eső kiadás újraosztásával kiadás összesen
Ft</t>
  </si>
  <si>
    <t>Közterületesítés nélkül és közterületesítéssel számolt eredmények közti eltérés, Ft</t>
  </si>
  <si>
    <t>11. a) melléklet - 2022. évi közterületesítés terv, Budapest</t>
  </si>
  <si>
    <t>11. b) melléklet - 2021. évi elszámolás, Szombathely</t>
  </si>
  <si>
    <t>IK Szh</t>
  </si>
  <si>
    <t>PPK Szh</t>
  </si>
  <si>
    <t>TáTK Szh</t>
  </si>
  <si>
    <t>B7.b.</t>
  </si>
  <si>
    <t>SZOCHÓ (13%)</t>
  </si>
  <si>
    <t>15,5%-os szocho, manuálisan töltendő 2021 decemberre</t>
  </si>
  <si>
    <t>EKHO (13%)</t>
  </si>
  <si>
    <t>2022. évi forrás összesen 2.a alapján</t>
  </si>
  <si>
    <t>Tervezett 2022. évi forrás összesen</t>
  </si>
  <si>
    <t>ebből: 2022 évi támogatás</t>
  </si>
  <si>
    <t>ebből: 2022 évi saját bevétel</t>
  </si>
  <si>
    <t>Tervezett 2022. évi forrás + maradvány összesen</t>
  </si>
  <si>
    <t>Tervezett kiadás 2022. évi forrásból összesen</t>
  </si>
  <si>
    <t>Keresztfinanszírozás előtti egyenleg, 2022. évi forrás</t>
  </si>
  <si>
    <t>B21.a</t>
  </si>
  <si>
    <t>B22</t>
  </si>
  <si>
    <t>B23.b.</t>
  </si>
  <si>
    <t>B23.c</t>
  </si>
  <si>
    <t>B23a.</t>
  </si>
  <si>
    <t>Kiválósági Alap</t>
  </si>
  <si>
    <t>Béremelés 2021-2022 még itt nem lévő része</t>
  </si>
  <si>
    <t>C131SANYI</t>
  </si>
  <si>
    <t>D131SFIZT</t>
  </si>
  <si>
    <t>D131SFOLD</t>
  </si>
  <si>
    <t>D131SKEMT</t>
  </si>
  <si>
    <t>C131SMIRT</t>
  </si>
  <si>
    <t>C131SMNYT</t>
  </si>
  <si>
    <t>D131SMATT</t>
  </si>
  <si>
    <t>C131SVIZM</t>
  </si>
  <si>
    <t>C131SSZLA</t>
  </si>
  <si>
    <t>C131STORT</t>
  </si>
  <si>
    <t>C131SZENE</t>
  </si>
  <si>
    <t>C1201</t>
  </si>
  <si>
    <t>D0671</t>
  </si>
  <si>
    <t>D0674</t>
  </si>
  <si>
    <t>D0673</t>
  </si>
  <si>
    <t>D0672</t>
  </si>
  <si>
    <t>C1203</t>
  </si>
  <si>
    <t>C1204</t>
  </si>
  <si>
    <t>D0675</t>
  </si>
  <si>
    <t>C1205</t>
  </si>
  <si>
    <t>C1202</t>
  </si>
  <si>
    <t>C1206</t>
  </si>
  <si>
    <t>C1207</t>
  </si>
  <si>
    <t>C1208</t>
  </si>
  <si>
    <t>BDPK Általános</t>
  </si>
  <si>
    <t>N0636</t>
  </si>
  <si>
    <t>C13101/17</t>
  </si>
  <si>
    <t>C1200</t>
  </si>
  <si>
    <t>S39019/19</t>
  </si>
  <si>
    <t>Lektorok</t>
  </si>
  <si>
    <t>K04801/17</t>
  </si>
  <si>
    <t>Általános 2</t>
  </si>
  <si>
    <t>BDPK hallgatói bef.</t>
  </si>
  <si>
    <t>D13101/17</t>
  </si>
  <si>
    <t>N14804/17</t>
  </si>
  <si>
    <t>SC10801/17</t>
  </si>
  <si>
    <t>Angol Nyelv- és Irodalom Tanszék</t>
  </si>
  <si>
    <t>Biológiai 
Tanszék</t>
  </si>
  <si>
    <t>Fizikai 
Tanszék</t>
  </si>
  <si>
    <t>Földrajzi 
Tanszék</t>
  </si>
  <si>
    <t>Kémiai 
Tanszék</t>
  </si>
  <si>
    <t>Magyar Irodalom-tudományi Tanszék</t>
  </si>
  <si>
    <t>Magyar Nyelv-tudományi Tanszék</t>
  </si>
  <si>
    <t>Német Nyelv- és Irodalom Tanszék</t>
  </si>
  <si>
    <t>Létszám_csak oktatási egységekre</t>
  </si>
  <si>
    <t>Összeg / BDPK</t>
  </si>
  <si>
    <t>3. a) melléklet - Berzsenyi Dániel Pedagógusképző Kar /Szombathely/ saját bevételei a 2022. évi költségvetésben</t>
  </si>
  <si>
    <t>3. b) melléklet - Berzsenyi Dániel Pedagógusképző Kar /Szombathely/ képzési saját bevételeinek analitikája a 2022. évi költségvetésben</t>
  </si>
  <si>
    <t>8. melléklet - Berzsenyi Dániel Pedagógusképző Kar /Szombathely/ költségvetésének kancellári körlevél szerinti főtáblája (Ft-ban) - pályázatok, várható további céltámogatások</t>
  </si>
  <si>
    <t>BDPK SZH Általános</t>
  </si>
  <si>
    <t>SPALYREZSI</t>
  </si>
  <si>
    <t>Szervezeti egység neve</t>
  </si>
  <si>
    <t>Stipendium Hungaricum költségtérítés 2022. évre előző évi tény 85 %-a célszervezet alapján (átoktatás után)</t>
  </si>
  <si>
    <t>Elvonás a Stipendium Hungaricum költségtérítésből</t>
  </si>
  <si>
    <t>Idegen nyelvű önköltséges képzésekhez kapcsolódó működési bevételek (*106 utalványkód és nem *HU végződésű képzéskódok)</t>
  </si>
  <si>
    <t>Elvonás az idegen nyelvű önköltséges képzésekhez kapcsolódó működési bevételekből</t>
  </si>
  <si>
    <t>Nemzetköziesítéshez kapcsolódó elvonások összesen</t>
  </si>
  <si>
    <t>2021. évi tény</t>
  </si>
  <si>
    <t>5. = 2 + 4</t>
  </si>
  <si>
    <t>IK Szombathely</t>
  </si>
  <si>
    <t>3. oszlop forrásának nem *HU végződésű munkaszámai:</t>
  </si>
  <si>
    <t>Munkaszám neve</t>
  </si>
  <si>
    <t>A10502/16</t>
  </si>
  <si>
    <t>JTI-P/28-LTEN</t>
  </si>
  <si>
    <t>A10503/17</t>
  </si>
  <si>
    <t>JTI-P/29-LTEN</t>
  </si>
  <si>
    <t>A10504/17</t>
  </si>
  <si>
    <t>JTI-P/30-LTEN</t>
  </si>
  <si>
    <t>AA1101/13</t>
  </si>
  <si>
    <t>ÁJTK-EIBL-LMEN</t>
  </si>
  <si>
    <t>AB9P01/04</t>
  </si>
  <si>
    <t>PPK-PSY-NBEN</t>
  </si>
  <si>
    <t>AF1T02/14</t>
  </si>
  <si>
    <t>TÁTK-KIP-NMEN</t>
  </si>
  <si>
    <t>B10206/18</t>
  </si>
  <si>
    <t>PPK-HRC-NMEN</t>
  </si>
  <si>
    <t>B10207/18</t>
  </si>
  <si>
    <t>PPK-ICPP-NMEN</t>
  </si>
  <si>
    <t>B10208/18</t>
  </si>
  <si>
    <t>PPK-PSY-NMEN</t>
  </si>
  <si>
    <t>B10405/18</t>
  </si>
  <si>
    <t>PPK-DNEV-NDEN</t>
  </si>
  <si>
    <t>B10406/18</t>
  </si>
  <si>
    <t>PPK-DPSZ-NDEN</t>
  </si>
  <si>
    <t>C10102/19</t>
  </si>
  <si>
    <t>BTK-I-BUJSPA-NBES</t>
  </si>
  <si>
    <t>C10116/19</t>
  </si>
  <si>
    <t>BTK-I-BUJFRA-NBFR</t>
  </si>
  <si>
    <t>C10148/18</t>
  </si>
  <si>
    <t>BTK-I-BANGL-NBEN</t>
  </si>
  <si>
    <t>C10150/18</t>
  </si>
  <si>
    <t>BTK-I-BMAGY-NBEN</t>
  </si>
  <si>
    <t>C10152/18</t>
  </si>
  <si>
    <t>BTK-I-BNÉDE-NBNL</t>
  </si>
  <si>
    <t>C10153/18</t>
  </si>
  <si>
    <t>BTK-I-BNÉME-NBDE</t>
  </si>
  <si>
    <t>C10210/19</t>
  </si>
  <si>
    <t>BTK-I-MANGOKT-NMEN</t>
  </si>
  <si>
    <t>C10211/19</t>
  </si>
  <si>
    <t>BTK-MANGOKT-NMEN</t>
  </si>
  <si>
    <t>C10260/18</t>
  </si>
  <si>
    <t>BTK-I-MANGLI-NMEN</t>
  </si>
  <si>
    <t>C10261/18</t>
  </si>
  <si>
    <t>BTK-I-MFILMT-NMEN</t>
  </si>
  <si>
    <t>C10402/18</t>
  </si>
  <si>
    <t>BTK-DIRODA-NDEN</t>
  </si>
  <si>
    <t>C10404/18</t>
  </si>
  <si>
    <t>BTK-DNYELV-NDEN</t>
  </si>
  <si>
    <t>C10406/18</t>
  </si>
  <si>
    <t>BTK-DTÖRTÉ-NDEN</t>
  </si>
  <si>
    <t>C10417/18</t>
  </si>
  <si>
    <t>BTK-DFILOZ-NDEN</t>
  </si>
  <si>
    <t>D10205/19</t>
  </si>
  <si>
    <t>TTK-FIZIKUS-NMEN</t>
  </si>
  <si>
    <t>D10206/19</t>
  </si>
  <si>
    <t>TTK-BIOLÓGUS-NMEN</t>
  </si>
  <si>
    <t>D10407/18</t>
  </si>
  <si>
    <t>TTK-KÉM4PHD-NDEN</t>
  </si>
  <si>
    <t>D10427/18</t>
  </si>
  <si>
    <t>TTK-MAT4PHD-NDEN</t>
  </si>
  <si>
    <t>E10104/18</t>
  </si>
  <si>
    <t>IK-PROGINF-NBEN</t>
  </si>
  <si>
    <t>E10204/18</t>
  </si>
  <si>
    <t>IK-PROGINF-NMEN</t>
  </si>
  <si>
    <t>E10402/18</t>
  </si>
  <si>
    <t>IK-INFPHD-NDEN</t>
  </si>
  <si>
    <t>E12105/19</t>
  </si>
  <si>
    <t>IK-SEK-SANB-GP-NBEN</t>
  </si>
  <si>
    <t>F10101/18</t>
  </si>
  <si>
    <t>TÁTK-AKG-NBEN</t>
  </si>
  <si>
    <t>F10101/19</t>
  </si>
  <si>
    <t>TÁTK-SZOC-NBEN</t>
  </si>
  <si>
    <t>F10102/18</t>
  </si>
  <si>
    <t>TÁTK-NT-NBEN</t>
  </si>
  <si>
    <t>F10201/19</t>
  </si>
  <si>
    <t>TÁTK-NT-NMEN</t>
  </si>
  <si>
    <t>F10206/18</t>
  </si>
  <si>
    <t>TÁTK-KAN-NMEN</t>
  </si>
  <si>
    <t>F10402/18</t>
  </si>
  <si>
    <t>TÁTK-SZOC-NDEN</t>
  </si>
  <si>
    <t>H10101/19</t>
  </si>
  <si>
    <t>TÓK-OVO-NBEN</t>
  </si>
  <si>
    <t>H11102/19</t>
  </si>
  <si>
    <t>TÓK-LINZ-NRDE</t>
  </si>
  <si>
    <t>I10101/19</t>
  </si>
  <si>
    <t>GTK-NG-NBEN</t>
  </si>
  <si>
    <t>I10102/19</t>
  </si>
  <si>
    <t>GTK-PS-NBEN</t>
  </si>
  <si>
    <t>I10102/20</t>
  </si>
  <si>
    <t>GTK-NG8-NBEN</t>
  </si>
  <si>
    <t>Nemzeköziesítésre elvonás, saját bevétel</t>
  </si>
  <si>
    <t>Nemzeköziesítésre elvonás, támogatás</t>
  </si>
  <si>
    <t>B7.c.</t>
  </si>
  <si>
    <t>B7.d.</t>
  </si>
  <si>
    <t>B7.e.</t>
  </si>
  <si>
    <t>B7.f.</t>
  </si>
  <si>
    <t>B7.g.</t>
  </si>
  <si>
    <t>B7.h.</t>
  </si>
  <si>
    <t>PPK Szombathely</t>
  </si>
  <si>
    <t>TÁTK Szombathely</t>
  </si>
  <si>
    <t>BDPK GYAKORLAT</t>
  </si>
  <si>
    <t>TÓK Szombathely</t>
  </si>
  <si>
    <t>Béremelés 2021-2022 fedezete</t>
  </si>
  <si>
    <t>Egyetemi minimumbér és béremelés allokáció</t>
  </si>
  <si>
    <t>2023 évi többlet támogatás allokációja (előirányzat csökkentéshez hozzájárulás arányában)</t>
  </si>
  <si>
    <t>Szombathelyi működésre ÁKTH elvonás 19,5 %</t>
  </si>
  <si>
    <t>Belső átrendezés gyakorlatszervezés működésre</t>
  </si>
  <si>
    <t>Belső átrendezés tanárképzés gyakorlatszervezésre</t>
  </si>
  <si>
    <t>Kiválósági ösztöndíjhoz hozzájárulás (-7,808mFt maradvány, 2022/23 II. félév  és 2023/24 I. félév tanév becsült adatai alapján</t>
  </si>
  <si>
    <t>18. d)</t>
  </si>
  <si>
    <t>Előirányzat csökkentéshez hozzájárulás tárgyévi összes bevétel és tervezett pályázati kiadás alapján</t>
  </si>
  <si>
    <t>18. e)</t>
  </si>
  <si>
    <t>Karok közötti belső átoktatási megállapodások</t>
  </si>
  <si>
    <t>2022. év végi maradvány (kari gazda) szabad keret (S*ITTNEMEI, *PALYREZSI, kari kiválósági, függő bevétel kizárásával)</t>
  </si>
  <si>
    <t>2022. év végi maradvány (kari gazda) átfordult kötelezettségvállalás</t>
  </si>
  <si>
    <t>Kari kiválósági keretek 2022. év végi költhető maradványa</t>
  </si>
  <si>
    <t>Elszámolás 3. a) melléklet "várható elszámolás" munkalap DC oszlop</t>
  </si>
  <si>
    <t>28.</t>
  </si>
  <si>
    <t>2022 évben végrehajtott  saját és egyéb képzési bevétel átoktatások korrekciója</t>
  </si>
  <si>
    <t>Elszámolások utáni ÁKTH -19,5% maradványban elszámolva</t>
  </si>
  <si>
    <t xml:space="preserve">2022. 3-4. negyedévi telefon költség elszámolás </t>
  </si>
  <si>
    <t>2022. évi telefon kötváll felszabadítás</t>
  </si>
  <si>
    <t>2022. évi képzési támogatás elszámolás - bruttó - minisztérium által  visszaigazolt  összeg 2022.12.09-i "képzési elszámolás" arányainak (visszafizetés maradványból)</t>
  </si>
  <si>
    <t>35. a)</t>
  </si>
  <si>
    <t>2022 évi Stipendium Hungaricum szervezési keret előelszámolás - bruttó - tervezett összeg (előzetes)</t>
  </si>
  <si>
    <t>35. b)</t>
  </si>
  <si>
    <t>2022. évi SH képzési  támogatás elszámolás ELŐZETES összeg 2022.12.09-i "képzési elszámolás arányainak" megfelelően (visszafizetés maradványból)</t>
  </si>
  <si>
    <t>35. c)</t>
  </si>
  <si>
    <t>2022 évi Stipendium Hungaricum képzési költség előelszámolás - bruttó (előzetes)</t>
  </si>
  <si>
    <t>3. a) melléklet</t>
  </si>
  <si>
    <t>Alaptámogatás alulfinanszírozás miatti kiegészítése 2022 évi tényelszámolás arányainak figyelembe vételével</t>
  </si>
  <si>
    <t>GTK felfutás hatás - 2023. tavaszán és őszén felvételre kerülő hallgatók becslésének 80%-a</t>
  </si>
  <si>
    <t>Stipendium Hungaricum költségtérítés célszervezetre (átoktatás után) - 2022 évi tény 85%-a</t>
  </si>
  <si>
    <t>Stipendium Hungaricum szervezési keret 2023 - 2022 évi tény 85%-a</t>
  </si>
  <si>
    <t>Szombathelyi működésre ÁKTH elvonás nem ittlévő bevételekből -19,5 % TÁRGYÉVI FORRÁSBÓL</t>
  </si>
  <si>
    <t>Szombathelyi működésre ÁKTH elvonás nem ittlévő bevételekből -19,5 % MARADVÁNY FORRÁSBÓL</t>
  </si>
  <si>
    <t>Szombathelyi működésre ÁKTH elvonás nem ittlévő bevételekből -19,5 %</t>
  </si>
  <si>
    <t>19. és 20. melléklet szerint</t>
  </si>
  <si>
    <t xml:space="preserve">Személyi juttatások 2022. évi tény bázison 2023. évi korrekciókkal (kari főcsoport - kivéve elszámolásköteles) </t>
  </si>
  <si>
    <t>Egyetemi minimumbér és béremelés kiadásai</t>
  </si>
  <si>
    <t>Kötelezően tervezendő informatika (funkcionális része lesz 2023. évben)</t>
  </si>
  <si>
    <t>Kötelezően tervezendő telefon költség (2022. évi elszámolás összege alapján)</t>
  </si>
  <si>
    <t>Kari oktatási-kutatási gazda K3-K5 2022. évi tény (ITTNEMEI, kari kiválósági és üzemeltetés nélkül)</t>
  </si>
  <si>
    <t>Karnál kiválósági (2022. évi költhető maradvánnyal együtt)</t>
  </si>
  <si>
    <t>1.+2.</t>
  </si>
  <si>
    <t>B6.c</t>
  </si>
  <si>
    <t>B6.d</t>
  </si>
  <si>
    <t>Előirányzat csökkentéshez hozzájárulás tárgyévi összes bevétel és tervezett pályázati kiadás alapján, saját bevétel</t>
  </si>
  <si>
    <t>BDPK GYAK</t>
  </si>
  <si>
    <t>SzombathelyBDPK GYAK</t>
  </si>
  <si>
    <t>DT ell.</t>
  </si>
  <si>
    <t>Ell. összeg</t>
  </si>
  <si>
    <t>Z tansz</t>
  </si>
  <si>
    <t>10. melléklet speciális támogatások felosztása szervezetek között 2023 évben</t>
  </si>
  <si>
    <t>Szombathelyi képzések fejlesztése (BDPK)</t>
  </si>
  <si>
    <t>Pedagógusok 2022 évi pótlékemelés bázisba építése</t>
  </si>
  <si>
    <t xml:space="preserve">2023 évi többlet támogatás allokációja </t>
  </si>
  <si>
    <t xml:space="preserve">Diabetesz pótlék </t>
  </si>
  <si>
    <t>14. c) melléklet</t>
  </si>
  <si>
    <t>Kulturális 20 %-os emelés allokációja</t>
  </si>
  <si>
    <t>2023 évi allokáció</t>
  </si>
  <si>
    <t>Ki nem osztott *</t>
  </si>
  <si>
    <t>* tavalyi elszámolás alapján várhatóan visszafizetendő összeg</t>
  </si>
  <si>
    <t>Kulturális illetménypótlék allokációja</t>
  </si>
  <si>
    <t>7. a-b melléklet - üzemeltetési kiadások tervezése a 2023. évi költségvetéshez</t>
  </si>
  <si>
    <t>maradvány ebben</t>
  </si>
  <si>
    <t>ÖNERŐS 30%</t>
  </si>
  <si>
    <t>TELJES 100%</t>
  </si>
  <si>
    <t>ÁTADANDÓ</t>
  </si>
  <si>
    <t>Üzemeltetés + PPP</t>
  </si>
  <si>
    <t>Üzemeltetés bér</t>
  </si>
  <si>
    <t>Energia</t>
  </si>
  <si>
    <t>Üzemeltetés + PPP maradvánnyal</t>
  </si>
  <si>
    <t>céltámogatásként tervezendő, nem átadandó</t>
  </si>
  <si>
    <t>Állam- és Jogtudományi Kari gyűjtő</t>
  </si>
  <si>
    <t>Bölcsészettudományi Kari gyűjtő</t>
  </si>
  <si>
    <t>Természettudományi Kari gyűjtő</t>
  </si>
  <si>
    <t>Informatikai Kari gyűjtő</t>
  </si>
  <si>
    <t>Társadalomtudományi Kari gyűjtő</t>
  </si>
  <si>
    <t>Bárczi Gusztáv Gyógypedaógiai Kari gyűjtő</t>
  </si>
  <si>
    <t>TÓK Tanító- és Óvóképző Kari gyűjtő</t>
  </si>
  <si>
    <t>Gazdálkodástudományi Intézeti gyűjtő</t>
  </si>
  <si>
    <t>Energiakompenzáció</t>
  </si>
  <si>
    <t>B26.x</t>
  </si>
  <si>
    <t>7.a-b</t>
  </si>
  <si>
    <t>2022. év végi maradvány (kötelezettségvállalással nem terhelt)</t>
  </si>
  <si>
    <t>Bruttó összeg 2023-ra</t>
  </si>
  <si>
    <t>Nettó összeg 2023-ra</t>
  </si>
  <si>
    <t>Bruttó összeg 2023-ra (becsült ár forintban)</t>
  </si>
  <si>
    <t>Össz.</t>
  </si>
  <si>
    <t>Teljes EISZ rendelés</t>
  </si>
  <si>
    <t>Központi támogatás összesen</t>
  </si>
  <si>
    <t>Központi támogatás, tudománymetriai adatbázsiok</t>
  </si>
  <si>
    <t>Létszámarányos központi támogatás (alap 115 MFt)</t>
  </si>
  <si>
    <t>További központi támogatás</t>
  </si>
  <si>
    <t>Központi 50%-os támogatás</t>
  </si>
  <si>
    <t>Kari költségvetésből önrész</t>
  </si>
  <si>
    <t>16. melléklet - Nemzetköziesítéshez kapcsolódó elvonások kalkulációja 2023. év</t>
  </si>
  <si>
    <t>C10204/21</t>
  </si>
  <si>
    <t>BTK-I-MKOMM-NMEN</t>
  </si>
  <si>
    <t>C10202/21</t>
  </si>
  <si>
    <t>BTK-I-MASSZI-NMEN</t>
  </si>
  <si>
    <t>D10219/18</t>
  </si>
  <si>
    <t>TTK-KÖRNYTUD-NMEN</t>
  </si>
  <si>
    <t>D10202/19</t>
  </si>
  <si>
    <t>TTK-ANYAGTUD-NMEN</t>
  </si>
  <si>
    <t>D10222/18</t>
  </si>
  <si>
    <t>TTK-VEGYÉSZ-NMEN</t>
  </si>
  <si>
    <t>D10420/18</t>
  </si>
  <si>
    <t>TTK-BIO4PHD-NDEN</t>
  </si>
  <si>
    <t>E10205/18</t>
  </si>
  <si>
    <t>IK-TÉRKÉP-NMEN</t>
  </si>
  <si>
    <t>E10207/18</t>
  </si>
  <si>
    <t>IK-AUTRINF-NMEN</t>
  </si>
  <si>
    <t>Emberi Jogi és Polit</t>
  </si>
  <si>
    <t>E12205/22</t>
  </si>
  <si>
    <t>IK-SEK-SANM-GP-NMEN</t>
  </si>
  <si>
    <t>E12204/21</t>
  </si>
  <si>
    <t>Idegen nyelvű tér.</t>
  </si>
  <si>
    <t>C10601/22</t>
  </si>
  <si>
    <t>BTK-HUNLANG-NXHU</t>
  </si>
  <si>
    <t>AC9202/04</t>
  </si>
  <si>
    <t>Idegen nyelv t BA/MA</t>
  </si>
  <si>
    <t>19. melléklet - tervezett pályázati kiadások 2023. évre</t>
  </si>
  <si>
    <t>PALYREZSI munkaszámra</t>
  </si>
  <si>
    <t>2023. évi ÁKTH, EKA fizetés kari rezsi terv pályázatos, de nem központi (nem K-s) munkaszámok</t>
  </si>
  <si>
    <t xml:space="preserve"> Kar</t>
  </si>
  <si>
    <t>0.</t>
  </si>
  <si>
    <t>2a</t>
  </si>
  <si>
    <t>2b</t>
  </si>
  <si>
    <t>3a</t>
  </si>
  <si>
    <t>3b</t>
  </si>
  <si>
    <t>ÁKTH, EKA köteles kiadás, 2022 tény</t>
  </si>
  <si>
    <t>ÁKTH, EKA köteles kiadás, 2023 terv</t>
  </si>
  <si>
    <t>ÁKTH, EKA rezsi kalkulált  2023. évi terv kiadás alapján</t>
  </si>
  <si>
    <t>ÁKTH kalkulált, 2023. évi terv kiadás alapján</t>
  </si>
  <si>
    <t>EKA kalkulált, 2023. évi terv kiadás alapján</t>
  </si>
  <si>
    <t>Kalkulált kari "rezsi" hozzájárulás</t>
  </si>
  <si>
    <t>Kalkulált kari "rezsi" hozzájárulás 70%-a, 2. a) mellékletben figyelembe veendő összeg</t>
  </si>
  <si>
    <t>Gotthard</t>
  </si>
  <si>
    <t>Tervezett pályázati kiadások utáni 5% kari rezsi 70%-a</t>
  </si>
  <si>
    <t>Központi ÁKTH elvonás nem ittlévő bevételekből -19,5 %</t>
  </si>
  <si>
    <t>22x</t>
  </si>
  <si>
    <t>MÓDOSULÁS 2022. év végi maradvány (kari gazda) átfordult kötelezettségvállalás</t>
  </si>
  <si>
    <t>Bevételátadás informatikai kiadásokra, összesen</t>
  </si>
  <si>
    <t>Bevételátadás informatikai kiadásokra, saját bevétel</t>
  </si>
  <si>
    <t>Bevételátadás informatikai kiadásokra, támogatás</t>
  </si>
  <si>
    <t>Előirányzat csökkentéshez hozzájárulás</t>
  </si>
  <si>
    <t>ELOIRCSOK</t>
  </si>
  <si>
    <t>B18.a</t>
  </si>
  <si>
    <t>B18.b</t>
  </si>
  <si>
    <t>B18.c</t>
  </si>
  <si>
    <t>Előirányzat csökkentéshez hozzájárulás tárgyévi összes bevétel és tervezett pályázati kiadás alapján, támogatás</t>
  </si>
  <si>
    <t>SB Előirányzat csökkentés hozzájárulás</t>
  </si>
  <si>
    <t>T Előirányzat csökkentés hozzájárulás</t>
  </si>
  <si>
    <t>Karok közötti belső átoktatási megállapodások, saját bevétel</t>
  </si>
  <si>
    <t>Karok közötti belső átoktatási megállapodások, támogatás</t>
  </si>
  <si>
    <t>Egyéb ÁKTH (köznevelés 6%-a), pályázati rezsi</t>
  </si>
  <si>
    <t>Egyetemi kiválósági alap elvonás -0,5%, saját bevétel</t>
  </si>
  <si>
    <t>Egyetemi kiválósági alap elvonás -0,5%, támogatás</t>
  </si>
  <si>
    <t>Szombathelyi működésre ÁKTH elvonás 19,5 %, saját bevétel</t>
  </si>
  <si>
    <t>Szombathelyi működésre ÁKTH elvonás 19,5 %, támogatás</t>
  </si>
  <si>
    <t>BA (Alapképzés)</t>
  </si>
  <si>
    <t>MA (Mesterképzés)</t>
  </si>
  <si>
    <t>Osztatlan képzés</t>
  </si>
  <si>
    <t>Szakirányú képzés</t>
  </si>
  <si>
    <t>Bérbeadással kapcsolatos bevételek</t>
  </si>
  <si>
    <t>USZKAR*</t>
  </si>
  <si>
    <t>USZGEFIN*</t>
  </si>
  <si>
    <t>Rezsitovábbszámlázás</t>
  </si>
  <si>
    <t>Hallgatói tanulmányi eljárási díjak bevételei</t>
  </si>
  <si>
    <t>Képzési munkaszám*</t>
  </si>
  <si>
    <t>C12101/18</t>
  </si>
  <si>
    <t>anglisztika</t>
  </si>
  <si>
    <t>Nappali</t>
  </si>
  <si>
    <t>C12104/18</t>
  </si>
  <si>
    <t>Levelező</t>
  </si>
  <si>
    <t>C12105/18</t>
  </si>
  <si>
    <t>germanisztika</t>
  </si>
  <si>
    <t>C12109/18</t>
  </si>
  <si>
    <t>szlavisztika</t>
  </si>
  <si>
    <t>C12110/18</t>
  </si>
  <si>
    <t>történelem</t>
  </si>
  <si>
    <t>C12120/18</t>
  </si>
  <si>
    <t>C12121/18</t>
  </si>
  <si>
    <t>képalkotás</t>
  </si>
  <si>
    <t>C12122/18</t>
  </si>
  <si>
    <t>H12103/18</t>
  </si>
  <si>
    <t>tanító</t>
  </si>
  <si>
    <t>SS10101/21</t>
  </si>
  <si>
    <t>képi ábrázolás</t>
  </si>
  <si>
    <t>tanárképzés</t>
  </si>
  <si>
    <t>új RTAK</t>
  </si>
  <si>
    <t>osztatlan tanárképzés</t>
  </si>
  <si>
    <t>új OTAK</t>
  </si>
  <si>
    <t>B12501/18</t>
  </si>
  <si>
    <t>fejlesztő, differenciáló pedagógia területen pedagógus-szakvizsgára felkészítő</t>
  </si>
  <si>
    <t>Szombathelyi képzések fejlesztése</t>
  </si>
  <si>
    <t>Tanszékekhez kapcsolt, OTAK-RTAK képzésben résztvevő hallgatók létszámaránya</t>
  </si>
  <si>
    <t>Munkaválallói létszámarány_ minden szervezeti egység figyelembevételével (Igazgatói Hivatallal együtt)</t>
  </si>
  <si>
    <t>Oktatói létszámarány csak oktatási egységek figyelembevételével (Igazgatói Hivatal nélkül)</t>
  </si>
  <si>
    <t>Tanszékekhez kapcsolódó lektori létszám arányosítása</t>
  </si>
  <si>
    <t>Nemzetiségi képzés, kisszakok ( Szlavisztika)</t>
  </si>
  <si>
    <t>Tanszékekhez kapcsolódó hallgatói létszámarány</t>
  </si>
  <si>
    <t>SH-ban részt vevő tanszékek bevételei arányában</t>
  </si>
  <si>
    <t>vegyes súlyozott arány (60% hallgató-40% oktató)</t>
  </si>
  <si>
    <t>MGY_vegyes súlyozott arány (60% hallgató-40% oktató)</t>
  </si>
  <si>
    <t>Tanszékek külföldi hallgatóinak létszámának arányosításával</t>
  </si>
  <si>
    <t>2022-es évben tanszéki SH támogatás arányában</t>
  </si>
  <si>
    <t>Tanszékekhez kapcsolt, OTAK-RTAK képzésben résztvevő hallgatói létszám</t>
  </si>
  <si>
    <t>Tanszéki hallgatói létszám (összes képzési szint-szakirányú, technika, tanító, testnevelő és gyógytestnevelő)</t>
  </si>
  <si>
    <t>Érvényesített felosztás sorszáma</t>
  </si>
  <si>
    <t>Létszám akadémia_Igazgatói Hivatallal együtt</t>
  </si>
  <si>
    <t>Tanszéki hallgatói létszám ( Vizuális és Zenepedagógiai Tanszék hallgatói létszám)</t>
  </si>
  <si>
    <t>Tanszéki oktatói létszám ( Vizuális és Zenepedagógiai Tanszék hallgatói létszámának)</t>
  </si>
  <si>
    <t>MGY hely_viz_zene oktató_arány</t>
  </si>
  <si>
    <t>MGY hely_viz_zene hallgató_arány</t>
  </si>
  <si>
    <t>Tanszékek külföldi hallgatóinak létszáma (Erasmus)</t>
  </si>
  <si>
    <t>Oktatási egység alatt lévő, szervezeti bértömeg aránya</t>
  </si>
  <si>
    <t xml:space="preserve">Oktatási egység alatt lévő, szervezeti bértömeg </t>
  </si>
  <si>
    <t>U1</t>
  </si>
  <si>
    <t>U2</t>
  </si>
  <si>
    <t>U3</t>
  </si>
  <si>
    <t>Stipendium</t>
  </si>
  <si>
    <t xml:space="preserve">Könyvelt támogatási előirányzatok </t>
  </si>
  <si>
    <t>Könyvelt támogatási előirányzatok aránya</t>
  </si>
  <si>
    <t>Belső működési átadás_Igazgatói Hivatal</t>
  </si>
  <si>
    <t>Belső működési átadás_Lektori munkaszám</t>
  </si>
  <si>
    <t>Tanszékekhez kapcsolódó 2023-as évi lektori bér</t>
  </si>
  <si>
    <t>Tanszékek 2023-as évi lektori bérbeadás aránya</t>
  </si>
  <si>
    <t>T Belső működésre átadás_25.305.125 Ft</t>
  </si>
  <si>
    <t>14.a tábla</t>
  </si>
  <si>
    <t>14.a tábla arány</t>
  </si>
  <si>
    <t>,</t>
  </si>
  <si>
    <t>Személyi kiadások, belső keresztfinanszírozás maradvány</t>
  </si>
  <si>
    <t>Személyi kiadások, maradvány</t>
  </si>
  <si>
    <t>Személyi kiadások, idei forrás</t>
  </si>
  <si>
    <t>4. melléklet Berzsenyi Dániel Pedagógusképző Központ nyitó létszám adatai 2023.</t>
  </si>
  <si>
    <t xml:space="preserve"> C1201 Angol Tanszék</t>
  </si>
  <si>
    <t>C1202 Német Tanszék</t>
  </si>
  <si>
    <t>C1203 Magyar Irodalomt. Tanszék</t>
  </si>
  <si>
    <t>C1204 Magyar Nyelvt. Tanszék</t>
  </si>
  <si>
    <t>C1205 Vizuális M. Tanszék</t>
  </si>
  <si>
    <t>C1206 Szlavisztika Tanszék</t>
  </si>
  <si>
    <t>C1207 Történelem Tanszék</t>
  </si>
  <si>
    <t>C1208 Zeneped. Tanszék</t>
  </si>
  <si>
    <t>D0671 Biológia Tanszék</t>
  </si>
  <si>
    <t>D0672 Kémiai Tanszék</t>
  </si>
  <si>
    <t>D0673 Földrajzi Tanszék</t>
  </si>
  <si>
    <t>D0674 Fizikai Tanszék</t>
  </si>
  <si>
    <t>D0675 Matematikai Tanszék</t>
  </si>
  <si>
    <t>N0636 Igazgatói Hivatal</t>
  </si>
  <si>
    <t>Informatikai Csoport</t>
  </si>
  <si>
    <t>Pályázati Iroda</t>
  </si>
  <si>
    <t>Könyvtár és Levéltár</t>
  </si>
  <si>
    <t>Campus Iroda</t>
  </si>
  <si>
    <t>Üzemeltetés</t>
  </si>
  <si>
    <t>5. melléklet - Berzsenyi Dániel Pedagógusképző Központ tervezett 2023. évi létszámváltozásai</t>
  </si>
  <si>
    <t>Kancellári Kabinet</t>
  </si>
  <si>
    <t>6. melléklet - Berzsenyi Dániel Pedagógusképző Központ 2023 évre tervezett várható személyi juttatás és járulék terhei</t>
  </si>
  <si>
    <t>Béren kívüli juttatás, BANKI KLTS</t>
  </si>
  <si>
    <t>Egyéb juttatások LEKT. SZÁLLÁST.</t>
  </si>
  <si>
    <t>SZOCHO</t>
  </si>
  <si>
    <t>REHAB</t>
  </si>
  <si>
    <t>Előzőből LEKTORI KERET terhére történő kifizetések</t>
  </si>
  <si>
    <t>Előzőből KÖLTSÉGVETÉS terhére történő kifizetések</t>
  </si>
  <si>
    <t>általános / szervezeti / képzési / céltámogatás / pályázat / üzemeltetési-fenntartási</t>
  </si>
  <si>
    <t>Angol Tanszék</t>
  </si>
  <si>
    <t>szervezeti</t>
  </si>
  <si>
    <t>lektori</t>
  </si>
  <si>
    <t>Német Tanszék</t>
  </si>
  <si>
    <t>Magyar Irodalomt. Tanszék</t>
  </si>
  <si>
    <t>óraadói</t>
  </si>
  <si>
    <t>Magyar Nyelvt. Tanszék</t>
  </si>
  <si>
    <t>Vizuális M. Tanszék</t>
  </si>
  <si>
    <t>Zeneped. Tanszék</t>
  </si>
  <si>
    <t>Biológia Tanszék</t>
  </si>
  <si>
    <t>Általános munkaszám</t>
  </si>
  <si>
    <t>tanító(óraadó és mentor)</t>
  </si>
  <si>
    <t>Kari hivatalok és kari gazda alatti egyéb belső feladatok összesen</t>
  </si>
  <si>
    <t>Egyedi tervezési egységhez nem rendelt vagy több tervezési egységhez tartozó elszámolás-köteles források összesen</t>
  </si>
  <si>
    <t>…</t>
  </si>
  <si>
    <t>Elszámolás köteles forrás 1</t>
  </si>
  <si>
    <t>céltámogatás</t>
  </si>
  <si>
    <t>Elszámolás köteles forrás 2</t>
  </si>
  <si>
    <t>pályázat</t>
  </si>
  <si>
    <t>Elszámolás köteles forrás 3</t>
  </si>
  <si>
    <t>Kari gazdán üzemeltetési-fenntartási kiadások összesen</t>
  </si>
  <si>
    <t>Üzemeltetési kiadások</t>
  </si>
  <si>
    <t>üzemeltetési-fenntartási</t>
  </si>
  <si>
    <t>Pályázatok</t>
  </si>
  <si>
    <t>... Kar összesen</t>
  </si>
  <si>
    <t>A KAR VÁRHATÓ 2023. ÉVI BEVÉTELE ÖSSZESEN</t>
  </si>
  <si>
    <t>PH1307/22, PH13</t>
  </si>
  <si>
    <t>D0670</t>
  </si>
  <si>
    <t>NTP-HHTDK-22-0018.
Tehetséggondozás a tanárképzésben</t>
  </si>
  <si>
    <t>Hallgatói létszám csökkenése</t>
  </si>
  <si>
    <t>demográfiai csökkenés, pedagógus életpálya reputációjának csökkenése</t>
  </si>
  <si>
    <t>folyamatos és irányított rekrutáció</t>
  </si>
  <si>
    <t>Oktatói utánpótlás problémái, pályázók hiánya, pedagógus életpálya népszerűtlensége</t>
  </si>
  <si>
    <t>Magas energiaköltségek</t>
  </si>
  <si>
    <t>7. melléklet - Berzsenyi Dániel Pedagógusképző Kar /Szombathely/ 2023. évi működési kockázatainak felmérése</t>
  </si>
  <si>
    <t xml:space="preserve">1. </t>
  </si>
  <si>
    <t>x</t>
  </si>
  <si>
    <t xml:space="preserve">2. </t>
  </si>
  <si>
    <t>Eltorzult oktatói korfa, minősített oktatók fele 10 éven belül nyugdíjba megy, jelenlegi feltételek fennálása esetén -bérezés és életpálya- mellett lehetelen megszervezni az utánpótlást</t>
  </si>
  <si>
    <t>Oktatóink bevonása a pedagógusképzés népszerűsítésébe, saját utánpótlás nevelés</t>
  </si>
  <si>
    <t xml:space="preserve">3. </t>
  </si>
  <si>
    <t>Oktatás minőségének veszélyeztetése a fennálló finanszírozási rendszer változatlansága esetén</t>
  </si>
  <si>
    <t>Jelenlegi finanszírozási rendszer fennállása esetén a dominánsan pedagógusképző egység esetében plusz, kiegészítő támogatások nélkül a normatív támogatás nem fedezi a legszükségesebb kiadásokat sem.</t>
  </si>
  <si>
    <t xml:space="preserve">4. </t>
  </si>
  <si>
    <t>Új pályázati források, más külső források bevonásának és elérhetőségének hiánya a pedagógusképzés területén</t>
  </si>
  <si>
    <t>Előre láthatóan nincsenek pálylzati források és a gazdasági szereplők sem tartják elsődlegesnek a pedagógusképzés támogatását</t>
  </si>
  <si>
    <t xml:space="preserve">5. </t>
  </si>
  <si>
    <t>Rugalmas oktatásszervezés</t>
  </si>
  <si>
    <t xml:space="preserve">6. </t>
  </si>
  <si>
    <t>Oktatáshoz szükséges dologi kiadások növekedése a piaci áremelkedés miatt</t>
  </si>
  <si>
    <t>Mérsékelt, visszafogott, csak az oktatás színvonalának megtartásához szükséges évközi költések</t>
  </si>
  <si>
    <t>K-M            (1)</t>
  </si>
  <si>
    <t>M-M           (2,5)</t>
  </si>
  <si>
    <t xml:space="preserve">A-K
</t>
  </si>
  <si>
    <t>K-K             (3)</t>
  </si>
  <si>
    <t xml:space="preserve">M-K             (4)          </t>
  </si>
  <si>
    <t>K-A              (6)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</si>
</sst>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3" formatCode="_-* #,##0.00_-;\-* #,##0.00_-;_-* &quot;-&quot;??_-;_-@_-"/>
    <numFmt numFmtId="164" formatCode="_-* #,##0.00\ _F_t_-;\-* #,##0.00\ _F_t_-;_-* &quot;-&quot;??\ _F_t_-;_-@_-"/>
    <numFmt numFmtId="165" formatCode="_-* #,##0\ _F_t_-;\-* #,##0\ _F_t_-;_-* &quot;-&quot;??\ _F_t_-;_-@_-"/>
    <numFmt numFmtId="166" formatCode="_-* #,##0.0\ _F_t_-;\-* #,##0.0\ _F_t_-;_-* &quot;-&quot;??\ _F_t_-;_-@_-"/>
    <numFmt numFmtId="167" formatCode="#,###,"/>
    <numFmt numFmtId="168" formatCode="#,##0\ _F_t"/>
    <numFmt numFmtId="169" formatCode="#,##0\ &quot;Ft&quot;"/>
    <numFmt numFmtId="170" formatCode="#,##0.0"/>
    <numFmt numFmtId="171" formatCode="#,##0_ ;[Red]\-#,##0\ "/>
    <numFmt numFmtId="172" formatCode="_-* #,##0_-;\-* #,##0_-;_-* &quot;-&quot;??_-;_-@_-"/>
    <numFmt numFmtId="173" formatCode="#,##0\ [$EUR]"/>
    <numFmt numFmtId="174" formatCode="0.0000000%"/>
    <numFmt numFmtId="175" formatCode="#,##0.00\ &quot;Ft&quot;"/>
  </numFmts>
  <fonts count="114" x14ac:knownFonts="1">
    <font>
      <sz val="12"/>
      <color theme="1"/>
      <name val="Garamond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color theme="1"/>
      <name val="Garamond"/>
      <family val="2"/>
      <charset val="238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Garamond"/>
      <family val="2"/>
      <charset val="238"/>
    </font>
    <font>
      <b/>
      <sz val="13"/>
      <color theme="3"/>
      <name val="Garamond"/>
      <family val="2"/>
      <charset val="238"/>
    </font>
    <font>
      <b/>
      <sz val="11"/>
      <color theme="3"/>
      <name val="Garamond"/>
      <family val="2"/>
      <charset val="238"/>
    </font>
    <font>
      <sz val="12"/>
      <color rgb="FF006100"/>
      <name val="Garamond"/>
      <family val="2"/>
      <charset val="238"/>
    </font>
    <font>
      <sz val="12"/>
      <color rgb="FF9C0006"/>
      <name val="Garamond"/>
      <family val="2"/>
      <charset val="238"/>
    </font>
    <font>
      <sz val="12"/>
      <color rgb="FF9C6500"/>
      <name val="Garamond"/>
      <family val="2"/>
      <charset val="238"/>
    </font>
    <font>
      <sz val="12"/>
      <color rgb="FF3F3F76"/>
      <name val="Garamond"/>
      <family val="2"/>
      <charset val="238"/>
    </font>
    <font>
      <b/>
      <sz val="12"/>
      <color rgb="FF3F3F3F"/>
      <name val="Garamond"/>
      <family val="2"/>
      <charset val="238"/>
    </font>
    <font>
      <b/>
      <sz val="12"/>
      <color rgb="FFFA7D00"/>
      <name val="Garamond"/>
      <family val="2"/>
      <charset val="238"/>
    </font>
    <font>
      <sz val="12"/>
      <color rgb="FFFA7D00"/>
      <name val="Garamond"/>
      <family val="2"/>
      <charset val="238"/>
    </font>
    <font>
      <b/>
      <sz val="12"/>
      <color theme="0"/>
      <name val="Garamond"/>
      <family val="2"/>
      <charset val="238"/>
    </font>
    <font>
      <sz val="12"/>
      <color rgb="FFFF0000"/>
      <name val="Garamond"/>
      <family val="2"/>
      <charset val="238"/>
    </font>
    <font>
      <i/>
      <sz val="12"/>
      <color rgb="FF7F7F7F"/>
      <name val="Garamond"/>
      <family val="2"/>
      <charset val="238"/>
    </font>
    <font>
      <b/>
      <sz val="12"/>
      <color theme="1"/>
      <name val="Garamond"/>
      <family val="2"/>
      <charset val="238"/>
    </font>
    <font>
      <sz val="12"/>
      <color theme="0"/>
      <name val="Garamond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2"/>
      <color theme="1"/>
      <name val="Garamond"/>
      <family val="1"/>
      <charset val="238"/>
    </font>
    <font>
      <sz val="10"/>
      <color theme="1"/>
      <name val="Garamond"/>
      <family val="1"/>
      <charset val="238"/>
    </font>
    <font>
      <sz val="12"/>
      <color theme="1"/>
      <name val="Garamond"/>
      <family val="1"/>
      <charset val="238"/>
    </font>
    <font>
      <sz val="10"/>
      <name val="Arial"/>
      <family val="2"/>
      <charset val="238"/>
    </font>
    <font>
      <b/>
      <sz val="16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name val="Arial"/>
      <family val="2"/>
      <charset val="238"/>
    </font>
    <font>
      <sz val="10"/>
      <name val="Arial CE"/>
      <charset val="238"/>
    </font>
    <font>
      <sz val="8"/>
      <color rgb="FFFF0000"/>
      <name val="Arial"/>
      <family val="2"/>
      <charset val="238"/>
    </font>
    <font>
      <b/>
      <i/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6"/>
      <color theme="1"/>
      <name val="Garamond"/>
      <family val="1"/>
      <charset val="238"/>
    </font>
    <font>
      <sz val="11"/>
      <color theme="1"/>
      <name val="Garamond"/>
      <family val="1"/>
      <charset val="238"/>
    </font>
    <font>
      <b/>
      <sz val="10"/>
      <color theme="1"/>
      <name val="Garamond"/>
      <family val="1"/>
      <charset val="238"/>
    </font>
    <font>
      <i/>
      <sz val="10"/>
      <color theme="1"/>
      <name val="Garamond"/>
      <family val="1"/>
      <charset val="238"/>
    </font>
    <font>
      <b/>
      <sz val="14"/>
      <color theme="1"/>
      <name val="Garamond"/>
      <family val="1"/>
      <charset val="238"/>
    </font>
    <font>
      <sz val="10"/>
      <name val="Garamond"/>
      <family val="1"/>
      <charset val="238"/>
    </font>
    <font>
      <sz val="10"/>
      <color theme="0" tint="-0.249977111117893"/>
      <name val="Garamond"/>
      <family val="1"/>
      <charset val="238"/>
    </font>
    <font>
      <b/>
      <sz val="11"/>
      <name val="Garamond"/>
      <family val="1"/>
      <charset val="238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color theme="1"/>
      <name val="Calibri"/>
      <family val="2"/>
      <charset val="1"/>
      <scheme val="minor"/>
    </font>
    <font>
      <b/>
      <sz val="9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</font>
    <font>
      <b/>
      <sz val="12"/>
      <color rgb="FFFF0000"/>
      <name val="Calibri"/>
      <family val="2"/>
      <charset val="238"/>
    </font>
    <font>
      <b/>
      <sz val="12"/>
      <color theme="1"/>
      <name val="Calibri"/>
      <family val="2"/>
      <charset val="238"/>
    </font>
    <font>
      <sz val="12"/>
      <color rgb="FFFF0000"/>
      <name val="Calibri"/>
      <family val="2"/>
      <charset val="238"/>
    </font>
    <font>
      <sz val="12"/>
      <name val="Calibri"/>
      <family val="2"/>
      <charset val="238"/>
    </font>
    <font>
      <b/>
      <i/>
      <sz val="12"/>
      <color theme="1"/>
      <name val="Calibri"/>
      <family val="2"/>
      <charset val="238"/>
    </font>
    <font>
      <b/>
      <sz val="12"/>
      <name val="Calibri"/>
      <family val="2"/>
      <charset val="238"/>
    </font>
    <font>
      <b/>
      <sz val="11"/>
      <color theme="1"/>
      <name val="Calibri"/>
      <family val="2"/>
      <charset val="238"/>
    </font>
    <font>
      <i/>
      <sz val="12"/>
      <color theme="1"/>
      <name val="Calibri"/>
      <family val="2"/>
      <charset val="238"/>
    </font>
    <font>
      <i/>
      <sz val="12"/>
      <name val="Calibri"/>
      <family val="2"/>
      <charset val="238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b/>
      <i/>
      <sz val="11"/>
      <color rgb="FFFF0000"/>
      <name val="Calibri"/>
      <family val="2"/>
      <charset val="238"/>
      <scheme val="minor"/>
    </font>
    <font>
      <b/>
      <i/>
      <sz val="9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i/>
      <u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b/>
      <sz val="14"/>
      <color rgb="FFFF0000"/>
      <name val="Garamond"/>
      <family val="1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sz val="9"/>
      <color theme="1"/>
      <name val="Garamond"/>
      <family val="1"/>
      <charset val="238"/>
    </font>
    <font>
      <sz val="10"/>
      <color theme="0"/>
      <name val="Garamond"/>
      <family val="1"/>
      <charset val="238"/>
    </font>
    <font>
      <b/>
      <sz val="12"/>
      <color indexed="9"/>
      <name val="Garamond"/>
      <family val="1"/>
      <charset val="238"/>
    </font>
    <font>
      <b/>
      <sz val="12"/>
      <color theme="0"/>
      <name val="Garamond"/>
      <family val="1"/>
      <charset val="238"/>
    </font>
    <font>
      <sz val="12"/>
      <name val="Garamond"/>
      <family val="1"/>
      <charset val="238"/>
    </font>
    <font>
      <b/>
      <sz val="12"/>
      <name val="Garamond"/>
      <family val="1"/>
      <charset val="238"/>
    </font>
    <font>
      <b/>
      <i/>
      <sz val="1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2"/>
      <name val="Garamond"/>
      <family val="2"/>
      <charset val="238"/>
    </font>
    <font>
      <sz val="11"/>
      <name val="Garamond"/>
      <family val="1"/>
      <charset val="238"/>
    </font>
    <font>
      <i/>
      <sz val="11"/>
      <color theme="1"/>
      <name val="Calibri"/>
      <family val="2"/>
      <charset val="238"/>
      <scheme val="minor"/>
    </font>
    <font>
      <b/>
      <sz val="12"/>
      <name val="Open Sans"/>
      <family val="2"/>
      <charset val="238"/>
    </font>
    <font>
      <b/>
      <sz val="9"/>
      <name val="Open Sans"/>
      <family val="2"/>
      <charset val="238"/>
    </font>
    <font>
      <b/>
      <sz val="10"/>
      <name val="Open Sans"/>
      <family val="2"/>
      <charset val="238"/>
    </font>
    <font>
      <sz val="9"/>
      <name val="Open Sans"/>
      <family val="2"/>
      <charset val="238"/>
    </font>
    <font>
      <sz val="9"/>
      <color theme="1"/>
      <name val="Open Sans"/>
      <family val="2"/>
      <charset val="238"/>
    </font>
    <font>
      <b/>
      <sz val="12"/>
      <color theme="1"/>
      <name val="Garamond"/>
      <family val="1"/>
      <charset val="238"/>
    </font>
    <font>
      <sz val="12"/>
      <color rgb="FF000000"/>
      <name val="Garamond"/>
      <family val="1"/>
      <charset val="238"/>
    </font>
    <font>
      <b/>
      <i/>
      <sz val="12"/>
      <name val="Calibri"/>
      <family val="2"/>
      <charset val="238"/>
    </font>
    <font>
      <b/>
      <sz val="11"/>
      <name val="Calibri"/>
      <family val="2"/>
      <charset val="238"/>
    </font>
    <font>
      <b/>
      <sz val="11"/>
      <color theme="1"/>
      <name val="Garamond"/>
      <family val="1"/>
      <charset val="238"/>
    </font>
    <font>
      <b/>
      <sz val="9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i/>
      <u/>
      <sz val="10"/>
      <color theme="1"/>
      <name val="Garamond"/>
      <family val="1"/>
      <charset val="238"/>
    </font>
    <font>
      <b/>
      <i/>
      <sz val="10"/>
      <color theme="1"/>
      <name val="Garamond"/>
      <family val="1"/>
      <charset val="238"/>
    </font>
    <font>
      <sz val="9"/>
      <color theme="1"/>
      <name val="Garamond"/>
      <family val="1"/>
      <charset val="238"/>
    </font>
    <font>
      <b/>
      <i/>
      <u/>
      <sz val="12"/>
      <color theme="1"/>
      <name val="Garamond"/>
      <family val="1"/>
      <charset val="238"/>
    </font>
  </fonts>
  <fills count="7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theme="4" tint="0.79998168889431442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CF488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66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FF99FF"/>
        <bgColor indexed="64"/>
      </patternFill>
    </fill>
  </fills>
  <borders count="10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65">
    <xf numFmtId="0" fontId="0" fillId="0" borderId="0"/>
    <xf numFmtId="0" fontId="9" fillId="0" borderId="0" applyNumberFormat="0" applyFill="0" applyBorder="0" applyAlignment="0" applyProtection="0"/>
    <xf numFmtId="0" fontId="10" fillId="0" borderId="1" applyNumberFormat="0" applyFill="0" applyAlignment="0" applyProtection="0"/>
    <xf numFmtId="0" fontId="11" fillId="0" borderId="2" applyNumberFormat="0" applyFill="0" applyAlignment="0" applyProtection="0"/>
    <xf numFmtId="0" fontId="12" fillId="0" borderId="3" applyNumberFormat="0" applyFill="0" applyAlignment="0" applyProtection="0"/>
    <xf numFmtId="0" fontId="12" fillId="0" borderId="0" applyNumberFormat="0" applyFill="0" applyBorder="0" applyAlignment="0" applyProtection="0"/>
    <xf numFmtId="0" fontId="13" fillId="2" borderId="0" applyNumberFormat="0" applyBorder="0" applyAlignment="0" applyProtection="0"/>
    <xf numFmtId="0" fontId="14" fillId="3" borderId="0" applyNumberFormat="0" applyBorder="0" applyAlignment="0" applyProtection="0"/>
    <xf numFmtId="0" fontId="15" fillId="4" borderId="0" applyNumberFormat="0" applyBorder="0" applyAlignment="0" applyProtection="0"/>
    <xf numFmtId="0" fontId="16" fillId="5" borderId="4" applyNumberFormat="0" applyAlignment="0" applyProtection="0"/>
    <xf numFmtId="0" fontId="17" fillId="6" borderId="5" applyNumberFormat="0" applyAlignment="0" applyProtection="0"/>
    <xf numFmtId="0" fontId="18" fillId="6" borderId="4" applyNumberFormat="0" applyAlignment="0" applyProtection="0"/>
    <xf numFmtId="0" fontId="19" fillId="0" borderId="6" applyNumberFormat="0" applyFill="0" applyAlignment="0" applyProtection="0"/>
    <xf numFmtId="0" fontId="20" fillId="7" borderId="7" applyNumberFormat="0" applyAlignment="0" applyProtection="0"/>
    <xf numFmtId="0" fontId="21" fillId="0" borderId="0" applyNumberFormat="0" applyFill="0" applyBorder="0" applyAlignment="0" applyProtection="0"/>
    <xf numFmtId="0" fontId="8" fillId="8" borderId="8" applyNumberFormat="0" applyFont="0" applyAlignment="0" applyProtection="0"/>
    <xf numFmtId="0" fontId="22" fillId="0" borderId="0" applyNumberFormat="0" applyFill="0" applyBorder="0" applyAlignment="0" applyProtection="0"/>
    <xf numFmtId="0" fontId="23" fillId="0" borderId="9" applyNumberFormat="0" applyFill="0" applyAlignment="0" applyProtection="0"/>
    <xf numFmtId="0" fontId="24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24" fillId="32" borderId="0" applyNumberFormat="0" applyBorder="0" applyAlignment="0" applyProtection="0"/>
    <xf numFmtId="164" fontId="8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34" fillId="0" borderId="0"/>
    <xf numFmtId="0" fontId="42" fillId="0" borderId="0"/>
    <xf numFmtId="0" fontId="42" fillId="0" borderId="0"/>
    <xf numFmtId="0" fontId="42" fillId="0" borderId="0"/>
    <xf numFmtId="0" fontId="34" fillId="0" borderId="0"/>
    <xf numFmtId="9" fontId="8" fillId="0" borderId="0" applyFont="0" applyFill="0" applyBorder="0" applyAlignment="0" applyProtection="0"/>
    <xf numFmtId="0" fontId="34" fillId="0" borderId="0"/>
    <xf numFmtId="0" fontId="58" fillId="0" borderId="0"/>
    <xf numFmtId="164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3" fillId="0" borderId="0"/>
    <xf numFmtId="0" fontId="2" fillId="0" borderId="0"/>
    <xf numFmtId="164" fontId="2" fillId="0" borderId="0" applyFont="0" applyFill="0" applyBorder="0" applyAlignment="0" applyProtection="0"/>
  </cellStyleXfs>
  <cellXfs count="1223">
    <xf numFmtId="0" fontId="0" fillId="0" borderId="0" xfId="0"/>
    <xf numFmtId="165" fontId="0" fillId="0" borderId="0" xfId="0" applyNumberFormat="1"/>
    <xf numFmtId="3" fontId="0" fillId="0" borderId="0" xfId="0" applyNumberFormat="1"/>
    <xf numFmtId="0" fontId="0" fillId="0" borderId="0" xfId="0" pivotButton="1"/>
    <xf numFmtId="0" fontId="31" fillId="0" borderId="0" xfId="0" applyFont="1"/>
    <xf numFmtId="0" fontId="0" fillId="0" borderId="0" xfId="0" applyAlignment="1">
      <alignment horizontal="center" vertical="center"/>
    </xf>
    <xf numFmtId="0" fontId="34" fillId="0" borderId="0" xfId="45" applyAlignment="1">
      <alignment vertical="top"/>
    </xf>
    <xf numFmtId="0" fontId="34" fillId="45" borderId="10" xfId="45" applyFill="1" applyBorder="1" applyAlignment="1">
      <alignment vertical="top"/>
    </xf>
    <xf numFmtId="0" fontId="34" fillId="45" borderId="10" xfId="45" applyFill="1" applyBorder="1" applyAlignment="1">
      <alignment horizontal="left" vertical="top"/>
    </xf>
    <xf numFmtId="0" fontId="34" fillId="0" borderId="0" xfId="45" quotePrefix="1" applyAlignment="1">
      <alignment vertical="top"/>
    </xf>
    <xf numFmtId="3" fontId="34" fillId="0" borderId="0" xfId="45" applyNumberFormat="1" applyAlignment="1">
      <alignment horizontal="right" vertical="top"/>
    </xf>
    <xf numFmtId="0" fontId="34" fillId="0" borderId="0" xfId="45" applyAlignment="1">
      <alignment horizontal="left" vertical="top"/>
    </xf>
    <xf numFmtId="4" fontId="34" fillId="0" borderId="0" xfId="45" applyNumberFormat="1" applyAlignment="1">
      <alignment horizontal="right" vertical="top"/>
    </xf>
    <xf numFmtId="0" fontId="34" fillId="33" borderId="0" xfId="45" applyFill="1" applyAlignment="1">
      <alignment horizontal="left" vertical="top"/>
    </xf>
    <xf numFmtId="0" fontId="34" fillId="46" borderId="0" xfId="45" applyFill="1" applyAlignment="1">
      <alignment vertical="top"/>
    </xf>
    <xf numFmtId="0" fontId="0" fillId="0" borderId="0" xfId="0" applyFill="1"/>
    <xf numFmtId="3" fontId="0" fillId="0" borderId="0" xfId="0" applyNumberFormat="1" applyFill="1"/>
    <xf numFmtId="165" fontId="0" fillId="0" borderId="0" xfId="44" applyNumberFormat="1" applyFont="1" applyFill="1"/>
    <xf numFmtId="0" fontId="35" fillId="0" borderId="0" xfId="0" applyFont="1"/>
    <xf numFmtId="0" fontId="26" fillId="38" borderId="10" xfId="0" applyFont="1" applyFill="1" applyBorder="1" applyAlignment="1">
      <alignment horizontal="center" vertical="center" wrapText="1"/>
    </xf>
    <xf numFmtId="0" fontId="26" fillId="0" borderId="10" xfId="0" applyFont="1" applyBorder="1"/>
    <xf numFmtId="0" fontId="0" fillId="0" borderId="10" xfId="0" applyBorder="1"/>
    <xf numFmtId="3" fontId="0" fillId="0" borderId="10" xfId="0" applyNumberFormat="1" applyBorder="1" applyAlignment="1">
      <alignment vertical="center" wrapText="1"/>
    </xf>
    <xf numFmtId="3" fontId="26" fillId="0" borderId="0" xfId="0" applyNumberFormat="1" applyFont="1"/>
    <xf numFmtId="3" fontId="36" fillId="36" borderId="10" xfId="0" applyNumberFormat="1" applyFont="1" applyFill="1" applyBorder="1" applyAlignment="1">
      <alignment wrapText="1"/>
    </xf>
    <xf numFmtId="0" fontId="37" fillId="0" borderId="0" xfId="0" applyFont="1"/>
    <xf numFmtId="0" fontId="38" fillId="0" borderId="0" xfId="0" applyFont="1"/>
    <xf numFmtId="0" fontId="39" fillId="0" borderId="0" xfId="0" applyFont="1"/>
    <xf numFmtId="0" fontId="40" fillId="0" borderId="0" xfId="0" applyFont="1"/>
    <xf numFmtId="0" fontId="39" fillId="38" borderId="10" xfId="0" applyFont="1" applyFill="1" applyBorder="1" applyAlignment="1">
      <alignment horizontal="center" vertical="center"/>
    </xf>
    <xf numFmtId="3" fontId="36" fillId="36" borderId="10" xfId="46" applyNumberFormat="1" applyFont="1" applyFill="1" applyBorder="1" applyAlignment="1">
      <alignment wrapText="1"/>
    </xf>
    <xf numFmtId="3" fontId="36" fillId="0" borderId="10" xfId="46" applyNumberFormat="1" applyFont="1" applyFill="1" applyBorder="1" applyAlignment="1">
      <alignment wrapText="1"/>
    </xf>
    <xf numFmtId="3" fontId="36" fillId="36" borderId="10" xfId="46" applyNumberFormat="1" applyFont="1" applyFill="1" applyBorder="1" applyAlignment="1">
      <alignment vertical="center" wrapText="1"/>
    </xf>
    <xf numFmtId="0" fontId="40" fillId="0" borderId="10" xfId="0" applyFont="1" applyBorder="1"/>
    <xf numFmtId="165" fontId="40" fillId="0" borderId="10" xfId="0" applyNumberFormat="1" applyFont="1" applyBorder="1"/>
    <xf numFmtId="3" fontId="36" fillId="36" borderId="10" xfId="47" applyNumberFormat="1" applyFont="1" applyFill="1" applyBorder="1" applyAlignment="1">
      <alignment wrapText="1"/>
    </xf>
    <xf numFmtId="3" fontId="36" fillId="0" borderId="10" xfId="47" applyNumberFormat="1" applyFont="1" applyFill="1" applyBorder="1" applyAlignment="1">
      <alignment wrapText="1"/>
    </xf>
    <xf numFmtId="3" fontId="36" fillId="39" borderId="10" xfId="47" applyNumberFormat="1" applyFont="1" applyFill="1" applyBorder="1" applyAlignment="1">
      <alignment wrapText="1"/>
    </xf>
    <xf numFmtId="168" fontId="36" fillId="36" borderId="10" xfId="48" applyNumberFormat="1" applyFont="1" applyFill="1" applyBorder="1" applyAlignment="1">
      <alignment vertical="center" wrapText="1"/>
    </xf>
    <xf numFmtId="168" fontId="36" fillId="0" borderId="10" xfId="48" applyNumberFormat="1" applyFont="1" applyFill="1" applyBorder="1" applyAlignment="1">
      <alignment vertical="center" wrapText="1"/>
    </xf>
    <xf numFmtId="3" fontId="36" fillId="0" borderId="13" xfId="47" applyNumberFormat="1" applyFont="1" applyFill="1" applyBorder="1" applyAlignment="1">
      <alignment wrapText="1"/>
    </xf>
    <xf numFmtId="3" fontId="36" fillId="36" borderId="13" xfId="46" applyNumberFormat="1" applyFont="1" applyFill="1" applyBorder="1" applyAlignment="1">
      <alignment vertical="center" wrapText="1"/>
    </xf>
    <xf numFmtId="3" fontId="36" fillId="0" borderId="13" xfId="0" applyNumberFormat="1" applyFont="1" applyFill="1" applyBorder="1" applyAlignment="1">
      <alignment wrapText="1"/>
    </xf>
    <xf numFmtId="168" fontId="36" fillId="0" borderId="13" xfId="48" applyNumberFormat="1" applyFont="1" applyFill="1" applyBorder="1" applyAlignment="1">
      <alignment vertical="center" wrapText="1"/>
    </xf>
    <xf numFmtId="3" fontId="43" fillId="36" borderId="10" xfId="0" applyNumberFormat="1" applyFont="1" applyFill="1" applyBorder="1" applyAlignment="1">
      <alignment wrapText="1"/>
    </xf>
    <xf numFmtId="3" fontId="36" fillId="51" borderId="10" xfId="0" applyNumberFormat="1" applyFont="1" applyFill="1" applyBorder="1" applyAlignment="1">
      <alignment wrapText="1"/>
    </xf>
    <xf numFmtId="3" fontId="36" fillId="51" borderId="13" xfId="0" applyNumberFormat="1" applyFont="1" applyFill="1" applyBorder="1" applyAlignment="1">
      <alignment wrapText="1"/>
    </xf>
    <xf numFmtId="168" fontId="43" fillId="0" borderId="10" xfId="48" applyNumberFormat="1" applyFont="1" applyFill="1" applyBorder="1" applyAlignment="1">
      <alignment vertical="center" wrapText="1"/>
    </xf>
    <xf numFmtId="0" fontId="40" fillId="0" borderId="10" xfId="0" applyFont="1" applyFill="1" applyBorder="1"/>
    <xf numFmtId="168" fontId="36" fillId="0" borderId="16" xfId="48" applyNumberFormat="1" applyFont="1" applyFill="1" applyBorder="1" applyAlignment="1">
      <alignment vertical="center" wrapText="1"/>
    </xf>
    <xf numFmtId="165" fontId="40" fillId="0" borderId="11" xfId="0" applyNumberFormat="1" applyFont="1" applyBorder="1"/>
    <xf numFmtId="0" fontId="0" fillId="0" borderId="11" xfId="0" applyBorder="1"/>
    <xf numFmtId="168" fontId="36" fillId="0" borderId="0" xfId="48" applyNumberFormat="1" applyFont="1" applyFill="1" applyBorder="1" applyAlignment="1">
      <alignment vertical="center" wrapText="1"/>
    </xf>
    <xf numFmtId="3" fontId="0" fillId="0" borderId="21" xfId="0" applyNumberFormat="1" applyBorder="1"/>
    <xf numFmtId="0" fontId="0" fillId="0" borderId="21" xfId="0" applyBorder="1"/>
    <xf numFmtId="165" fontId="40" fillId="0" borderId="21" xfId="0" applyNumberFormat="1" applyFont="1" applyBorder="1"/>
    <xf numFmtId="0" fontId="0" fillId="0" borderId="0" xfId="0" applyBorder="1"/>
    <xf numFmtId="165" fontId="40" fillId="0" borderId="0" xfId="0" applyNumberFormat="1" applyFont="1" applyBorder="1"/>
    <xf numFmtId="168" fontId="43" fillId="0" borderId="0" xfId="48" applyNumberFormat="1" applyFont="1" applyFill="1" applyBorder="1" applyAlignment="1">
      <alignment vertical="center" wrapText="1"/>
    </xf>
    <xf numFmtId="0" fontId="0" fillId="0" borderId="17" xfId="0" applyBorder="1"/>
    <xf numFmtId="3" fontId="36" fillId="0" borderId="10" xfId="0" applyNumberFormat="1" applyFont="1" applyFill="1" applyBorder="1" applyAlignment="1">
      <alignment wrapText="1"/>
    </xf>
    <xf numFmtId="0" fontId="40" fillId="0" borderId="14" xfId="0" applyFont="1" applyBorder="1"/>
    <xf numFmtId="0" fontId="0" fillId="0" borderId="14" xfId="0" applyBorder="1"/>
    <xf numFmtId="165" fontId="0" fillId="0" borderId="0" xfId="44" applyNumberFormat="1" applyFont="1"/>
    <xf numFmtId="0" fontId="0" fillId="51" borderId="0" xfId="0" applyFill="1"/>
    <xf numFmtId="166" fontId="0" fillId="0" borderId="0" xfId="0" applyNumberFormat="1"/>
    <xf numFmtId="0" fontId="0" fillId="0" borderId="0" xfId="0" applyAlignment="1">
      <alignment vertical="top"/>
    </xf>
    <xf numFmtId="0" fontId="44" fillId="0" borderId="0" xfId="0" applyFont="1" applyAlignment="1">
      <alignment vertical="top"/>
    </xf>
    <xf numFmtId="0" fontId="0" fillId="0" borderId="10" xfId="0" applyBorder="1" applyAlignment="1">
      <alignment vertical="top"/>
    </xf>
    <xf numFmtId="0" fontId="26" fillId="56" borderId="0" xfId="0" applyFont="1" applyFill="1" applyAlignment="1">
      <alignment horizontal="center" vertical="center" wrapText="1"/>
    </xf>
    <xf numFmtId="0" fontId="0" fillId="39" borderId="0" xfId="0" applyFill="1"/>
    <xf numFmtId="0" fontId="33" fillId="0" borderId="0" xfId="0" applyFont="1"/>
    <xf numFmtId="3" fontId="33" fillId="0" borderId="0" xfId="0" applyNumberFormat="1" applyFont="1" applyAlignment="1">
      <alignment horizontal="left" wrapText="1"/>
    </xf>
    <xf numFmtId="3" fontId="33" fillId="0" borderId="0" xfId="0" applyNumberFormat="1" applyFont="1"/>
    <xf numFmtId="0" fontId="26" fillId="57" borderId="0" xfId="0" applyFont="1" applyFill="1" applyProtection="1">
      <protection locked="0"/>
    </xf>
    <xf numFmtId="0" fontId="0" fillId="0" borderId="0" xfId="0" applyProtection="1"/>
    <xf numFmtId="49" fontId="0" fillId="58" borderId="0" xfId="0" applyNumberFormat="1" applyFill="1" applyProtection="1">
      <protection locked="0"/>
    </xf>
    <xf numFmtId="0" fontId="31" fillId="0" borderId="0" xfId="0" applyFont="1" applyAlignment="1">
      <alignment wrapText="1"/>
    </xf>
    <xf numFmtId="0" fontId="33" fillId="0" borderId="0" xfId="0" applyFont="1" applyAlignment="1">
      <alignment wrapText="1"/>
    </xf>
    <xf numFmtId="0" fontId="0" fillId="0" borderId="10" xfId="0" applyFill="1" applyBorder="1" applyAlignment="1">
      <alignment vertical="center"/>
    </xf>
    <xf numFmtId="10" fontId="0" fillId="0" borderId="10" xfId="50" applyNumberFormat="1" applyFont="1" applyFill="1" applyBorder="1"/>
    <xf numFmtId="3" fontId="0" fillId="0" borderId="10" xfId="50" applyNumberFormat="1" applyFont="1" applyFill="1" applyBorder="1"/>
    <xf numFmtId="0" fontId="26" fillId="0" borderId="10" xfId="0" applyFont="1" applyFill="1" applyBorder="1"/>
    <xf numFmtId="9" fontId="26" fillId="0" borderId="10" xfId="50" applyFont="1" applyFill="1" applyBorder="1"/>
    <xf numFmtId="3" fontId="26" fillId="0" borderId="10" xfId="0" applyNumberFormat="1" applyFont="1" applyFill="1" applyBorder="1"/>
    <xf numFmtId="0" fontId="29" fillId="0" borderId="0" xfId="0" applyFont="1"/>
    <xf numFmtId="3" fontId="0" fillId="0" borderId="10" xfId="0" applyNumberFormat="1" applyBorder="1"/>
    <xf numFmtId="0" fontId="48" fillId="0" borderId="0" xfId="0" applyFont="1" applyAlignment="1">
      <alignment vertical="top"/>
    </xf>
    <xf numFmtId="0" fontId="49" fillId="0" borderId="0" xfId="0" applyFont="1" applyAlignment="1">
      <alignment vertical="top"/>
    </xf>
    <xf numFmtId="0" fontId="50" fillId="0" borderId="25" xfId="0" applyFont="1" applyFill="1" applyBorder="1" applyAlignment="1">
      <alignment horizontal="center" vertical="center"/>
    </xf>
    <xf numFmtId="0" fontId="50" fillId="38" borderId="26" xfId="0" applyFont="1" applyFill="1" applyBorder="1" applyAlignment="1">
      <alignment horizontal="center" vertical="center" wrapText="1"/>
    </xf>
    <xf numFmtId="3" fontId="32" fillId="0" borderId="28" xfId="0" applyNumberFormat="1" applyFont="1" applyBorder="1" applyAlignment="1">
      <alignment vertical="center"/>
    </xf>
    <xf numFmtId="3" fontId="50" fillId="38" borderId="29" xfId="0" applyNumberFormat="1" applyFont="1" applyFill="1" applyBorder="1" applyAlignment="1">
      <alignment vertical="center"/>
    </xf>
    <xf numFmtId="3" fontId="32" fillId="0" borderId="10" xfId="0" applyNumberFormat="1" applyFont="1" applyBorder="1" applyAlignment="1">
      <alignment vertical="center"/>
    </xf>
    <xf numFmtId="3" fontId="50" fillId="38" borderId="31" xfId="0" applyNumberFormat="1" applyFont="1" applyFill="1" applyBorder="1" applyAlignment="1">
      <alignment vertical="center"/>
    </xf>
    <xf numFmtId="3" fontId="32" fillId="0" borderId="10" xfId="0" applyNumberFormat="1" applyFont="1" applyFill="1" applyBorder="1" applyAlignment="1">
      <alignment vertical="center"/>
    </xf>
    <xf numFmtId="3" fontId="32" fillId="0" borderId="33" xfId="0" applyNumberFormat="1" applyFont="1" applyBorder="1" applyAlignment="1">
      <alignment vertical="center"/>
    </xf>
    <xf numFmtId="3" fontId="50" fillId="38" borderId="34" xfId="0" applyNumberFormat="1" applyFont="1" applyFill="1" applyBorder="1" applyAlignment="1">
      <alignment vertical="center"/>
    </xf>
    <xf numFmtId="0" fontId="52" fillId="0" borderId="0" xfId="0" applyFont="1"/>
    <xf numFmtId="0" fontId="32" fillId="0" borderId="0" xfId="0" applyFont="1" applyAlignment="1">
      <alignment vertical="center"/>
    </xf>
    <xf numFmtId="0" fontId="50" fillId="0" borderId="50" xfId="0" applyFont="1" applyBorder="1" applyAlignment="1">
      <alignment vertical="center"/>
    </xf>
    <xf numFmtId="9" fontId="32" fillId="0" borderId="10" xfId="50" applyFont="1" applyBorder="1" applyAlignment="1">
      <alignment vertical="center"/>
    </xf>
    <xf numFmtId="3" fontId="32" fillId="0" borderId="31" xfId="0" applyNumberFormat="1" applyFont="1" applyFill="1" applyBorder="1" applyAlignment="1">
      <alignment vertical="center"/>
    </xf>
    <xf numFmtId="0" fontId="50" fillId="0" borderId="0" xfId="0" applyFont="1" applyAlignment="1">
      <alignment vertical="center"/>
    </xf>
    <xf numFmtId="0" fontId="50" fillId="0" borderId="51" xfId="0" applyFont="1" applyBorder="1" applyAlignment="1">
      <alignment horizontal="center" vertical="center" wrapText="1"/>
    </xf>
    <xf numFmtId="0" fontId="50" fillId="0" borderId="56" xfId="0" applyFont="1" applyBorder="1" applyAlignment="1">
      <alignment vertical="center"/>
    </xf>
    <xf numFmtId="3" fontId="53" fillId="0" borderId="29" xfId="0" applyNumberFormat="1" applyFont="1" applyFill="1" applyBorder="1" applyAlignment="1">
      <alignment vertical="center"/>
    </xf>
    <xf numFmtId="9" fontId="32" fillId="0" borderId="28" xfId="50" applyFont="1" applyBorder="1" applyAlignment="1">
      <alignment vertical="center"/>
    </xf>
    <xf numFmtId="3" fontId="32" fillId="0" borderId="29" xfId="0" applyNumberFormat="1" applyFont="1" applyFill="1" applyBorder="1" applyAlignment="1">
      <alignment vertical="center"/>
    </xf>
    <xf numFmtId="3" fontId="53" fillId="0" borderId="31" xfId="0" applyNumberFormat="1" applyFont="1" applyFill="1" applyBorder="1" applyAlignment="1">
      <alignment vertical="center"/>
    </xf>
    <xf numFmtId="3" fontId="32" fillId="0" borderId="11" xfId="0" applyNumberFormat="1" applyFont="1" applyBorder="1" applyAlignment="1">
      <alignment vertical="center"/>
    </xf>
    <xf numFmtId="0" fontId="50" fillId="0" borderId="55" xfId="0" applyFont="1" applyBorder="1" applyAlignment="1">
      <alignment vertical="center"/>
    </xf>
    <xf numFmtId="3" fontId="50" fillId="0" borderId="52" xfId="0" applyNumberFormat="1" applyFont="1" applyBorder="1" applyAlignment="1">
      <alignment vertical="center"/>
    </xf>
    <xf numFmtId="0" fontId="0" fillId="0" borderId="10" xfId="0" applyBorder="1" applyAlignment="1">
      <alignment wrapText="1"/>
    </xf>
    <xf numFmtId="169" fontId="0" fillId="0" borderId="10" xfId="0" applyNumberFormat="1" applyBorder="1"/>
    <xf numFmtId="169" fontId="0" fillId="0" borderId="0" xfId="0" applyNumberFormat="1"/>
    <xf numFmtId="0" fontId="49" fillId="0" borderId="0" xfId="0" applyFont="1"/>
    <xf numFmtId="0" fontId="56" fillId="38" borderId="49" xfId="0" applyFont="1" applyFill="1" applyBorder="1" applyAlignment="1">
      <alignment vertical="center"/>
    </xf>
    <xf numFmtId="0" fontId="56" fillId="38" borderId="49" xfId="0" applyFont="1" applyFill="1" applyBorder="1" applyAlignment="1">
      <alignment vertical="center" wrapText="1"/>
    </xf>
    <xf numFmtId="0" fontId="56" fillId="38" borderId="57" xfId="0" applyFont="1" applyFill="1" applyBorder="1" applyAlignment="1">
      <alignment vertical="center"/>
    </xf>
    <xf numFmtId="0" fontId="56" fillId="38" borderId="50" xfId="0" applyFont="1" applyFill="1" applyBorder="1" applyAlignment="1">
      <alignment vertical="center" wrapText="1"/>
    </xf>
    <xf numFmtId="0" fontId="56" fillId="38" borderId="45" xfId="0" applyFont="1" applyFill="1" applyBorder="1" applyAlignment="1">
      <alignment vertical="center" wrapText="1"/>
    </xf>
    <xf numFmtId="170" fontId="57" fillId="38" borderId="64" xfId="0" applyNumberFormat="1" applyFont="1" applyFill="1" applyBorder="1"/>
    <xf numFmtId="170" fontId="57" fillId="38" borderId="65" xfId="0" applyNumberFormat="1" applyFont="1" applyFill="1" applyBorder="1"/>
    <xf numFmtId="170" fontId="57" fillId="38" borderId="66" xfId="0" applyNumberFormat="1" applyFont="1" applyFill="1" applyBorder="1"/>
    <xf numFmtId="3" fontId="0" fillId="0" borderId="14" xfId="0" applyNumberFormat="1" applyBorder="1" applyAlignment="1">
      <alignment vertical="center"/>
    </xf>
    <xf numFmtId="3" fontId="0" fillId="0" borderId="10" xfId="0" applyNumberFormat="1" applyBorder="1" applyAlignment="1">
      <alignment vertical="center"/>
    </xf>
    <xf numFmtId="3" fontId="0" fillId="0" borderId="38" xfId="0" applyNumberFormat="1" applyBorder="1" applyAlignment="1">
      <alignment vertical="center"/>
    </xf>
    <xf numFmtId="0" fontId="56" fillId="38" borderId="57" xfId="0" applyFont="1" applyFill="1" applyBorder="1" applyAlignment="1">
      <alignment vertical="center" wrapText="1"/>
    </xf>
    <xf numFmtId="0" fontId="25" fillId="38" borderId="10" xfId="0" applyFont="1" applyFill="1" applyBorder="1" applyAlignment="1">
      <alignment horizontal="center" vertical="center" wrapText="1"/>
    </xf>
    <xf numFmtId="0" fontId="55" fillId="38" borderId="41" xfId="0" applyFont="1" applyFill="1" applyBorder="1" applyAlignment="1">
      <alignment vertical="center" wrapText="1"/>
    </xf>
    <xf numFmtId="0" fontId="55" fillId="38" borderId="40" xfId="0" applyFont="1" applyFill="1" applyBorder="1" applyAlignment="1">
      <alignment vertical="center"/>
    </xf>
    <xf numFmtId="0" fontId="50" fillId="0" borderId="25" xfId="0" applyFont="1" applyBorder="1" applyAlignment="1">
      <alignment horizontal="center" vertical="center" wrapText="1"/>
    </xf>
    <xf numFmtId="0" fontId="50" fillId="0" borderId="26" xfId="0" applyFont="1" applyBorder="1" applyAlignment="1">
      <alignment horizontal="center" vertical="center" wrapText="1"/>
    </xf>
    <xf numFmtId="0" fontId="50" fillId="0" borderId="35" xfId="0" applyFont="1" applyBorder="1" applyAlignment="1">
      <alignment horizontal="center" vertical="center" wrapText="1"/>
    </xf>
    <xf numFmtId="0" fontId="50" fillId="0" borderId="24" xfId="0" applyFont="1" applyBorder="1" applyAlignment="1">
      <alignment horizontal="center" vertical="center" wrapText="1"/>
    </xf>
    <xf numFmtId="0" fontId="50" fillId="0" borderId="67" xfId="0" applyFont="1" applyBorder="1" applyAlignment="1">
      <alignment vertical="center"/>
    </xf>
    <xf numFmtId="3" fontId="53" fillId="0" borderId="27" xfId="0" applyNumberFormat="1" applyFont="1" applyFill="1" applyBorder="1" applyAlignment="1">
      <alignment vertical="center"/>
    </xf>
    <xf numFmtId="9" fontId="53" fillId="0" borderId="28" xfId="50" applyFont="1" applyFill="1" applyBorder="1" applyAlignment="1">
      <alignment vertical="center"/>
    </xf>
    <xf numFmtId="3" fontId="53" fillId="0" borderId="47" xfId="0" applyNumberFormat="1" applyFont="1" applyFill="1" applyBorder="1" applyAlignment="1">
      <alignment vertical="center"/>
    </xf>
    <xf numFmtId="3" fontId="54" fillId="53" borderId="28" xfId="0" applyNumberFormat="1" applyFont="1" applyFill="1" applyBorder="1" applyAlignment="1">
      <alignment vertical="center"/>
    </xf>
    <xf numFmtId="0" fontId="50" fillId="0" borderId="50" xfId="0" applyFont="1" applyFill="1" applyBorder="1" applyAlignment="1">
      <alignment vertical="center"/>
    </xf>
    <xf numFmtId="0" fontId="50" fillId="0" borderId="69" xfId="0" applyFont="1" applyFill="1" applyBorder="1" applyAlignment="1">
      <alignment vertical="center"/>
    </xf>
    <xf numFmtId="3" fontId="53" fillId="0" borderId="30" xfId="0" applyNumberFormat="1" applyFont="1" applyFill="1" applyBorder="1" applyAlignment="1">
      <alignment vertical="center"/>
    </xf>
    <xf numFmtId="9" fontId="53" fillId="0" borderId="10" xfId="50" applyFont="1" applyFill="1" applyBorder="1" applyAlignment="1">
      <alignment vertical="center"/>
    </xf>
    <xf numFmtId="3" fontId="53" fillId="0" borderId="20" xfId="0" applyNumberFormat="1" applyFont="1" applyFill="1" applyBorder="1" applyAlignment="1">
      <alignment vertical="center"/>
    </xf>
    <xf numFmtId="3" fontId="54" fillId="53" borderId="10" xfId="0" applyNumberFormat="1" applyFont="1" applyFill="1" applyBorder="1" applyAlignment="1">
      <alignment vertical="center"/>
    </xf>
    <xf numFmtId="0" fontId="50" fillId="0" borderId="69" xfId="0" applyFont="1" applyBorder="1" applyAlignment="1">
      <alignment vertical="center"/>
    </xf>
    <xf numFmtId="3" fontId="53" fillId="0" borderId="70" xfId="0" applyNumberFormat="1" applyFont="1" applyFill="1" applyBorder="1" applyAlignment="1">
      <alignment vertical="center"/>
    </xf>
    <xf numFmtId="3" fontId="54" fillId="53" borderId="11" xfId="0" applyNumberFormat="1" applyFont="1" applyFill="1" applyBorder="1" applyAlignment="1">
      <alignment vertical="center"/>
    </xf>
    <xf numFmtId="3" fontId="60" fillId="0" borderId="10" xfId="42" applyNumberFormat="1" applyFont="1" applyFill="1" applyBorder="1" applyAlignment="1">
      <alignment vertical="center"/>
    </xf>
    <xf numFmtId="0" fontId="60" fillId="43" borderId="10" xfId="0" applyFont="1" applyFill="1" applyBorder="1" applyAlignment="1">
      <alignment horizontal="center" vertical="center" wrapText="1"/>
    </xf>
    <xf numFmtId="0" fontId="60" fillId="43" borderId="10" xfId="0" applyFont="1" applyFill="1" applyBorder="1" applyAlignment="1">
      <alignment vertical="center" wrapText="1"/>
    </xf>
    <xf numFmtId="0" fontId="60" fillId="42" borderId="10" xfId="0" applyFont="1" applyFill="1" applyBorder="1" applyAlignment="1">
      <alignment horizontal="center" vertical="center" wrapText="1"/>
    </xf>
    <xf numFmtId="0" fontId="60" fillId="41" borderId="10" xfId="0" applyFont="1" applyFill="1" applyBorder="1" applyAlignment="1">
      <alignment horizontal="center" vertical="center" wrapText="1"/>
    </xf>
    <xf numFmtId="0" fontId="62" fillId="33" borderId="10" xfId="0" applyFont="1" applyFill="1" applyBorder="1" applyAlignment="1">
      <alignment horizontal="center" vertical="center" wrapText="1"/>
    </xf>
    <xf numFmtId="0" fontId="62" fillId="59" borderId="10" xfId="0" applyFont="1" applyFill="1" applyBorder="1" applyAlignment="1">
      <alignment horizontal="center" vertical="center" wrapText="1"/>
    </xf>
    <xf numFmtId="0" fontId="60" fillId="60" borderId="10" xfId="0" applyFont="1" applyFill="1" applyBorder="1" applyAlignment="1">
      <alignment horizontal="center" vertical="center" wrapText="1"/>
    </xf>
    <xf numFmtId="0" fontId="60" fillId="0" borderId="0" xfId="0" applyFont="1" applyBorder="1" applyAlignment="1">
      <alignment horizontal="center" vertical="center" wrapText="1"/>
    </xf>
    <xf numFmtId="0" fontId="60" fillId="0" borderId="0" xfId="0" applyFont="1" applyBorder="1"/>
    <xf numFmtId="0" fontId="60" fillId="0" borderId="0" xfId="0" applyFont="1" applyBorder="1" applyAlignment="1"/>
    <xf numFmtId="0" fontId="62" fillId="0" borderId="0" xfId="0" applyFont="1" applyBorder="1" applyAlignment="1">
      <alignment horizontal="center" vertical="center"/>
    </xf>
    <xf numFmtId="0" fontId="60" fillId="0" borderId="0" xfId="0" applyFont="1" applyBorder="1" applyAlignment="1">
      <alignment horizontal="center"/>
    </xf>
    <xf numFmtId="0" fontId="60" fillId="0" borderId="0" xfId="0" applyFont="1" applyFill="1" applyBorder="1"/>
    <xf numFmtId="0" fontId="62" fillId="0" borderId="10" xfId="0" applyFont="1" applyFill="1" applyBorder="1" applyAlignment="1">
      <alignment vertical="center"/>
    </xf>
    <xf numFmtId="3" fontId="62" fillId="0" borderId="10" xfId="42" applyNumberFormat="1" applyFont="1" applyFill="1" applyBorder="1" applyAlignment="1">
      <alignment vertical="center"/>
    </xf>
    <xf numFmtId="3" fontId="60" fillId="0" borderId="10" xfId="0" applyNumberFormat="1" applyFont="1" applyFill="1" applyBorder="1" applyAlignment="1">
      <alignment horizontal="center" vertical="center"/>
    </xf>
    <xf numFmtId="3" fontId="62" fillId="0" borderId="10" xfId="0" applyNumberFormat="1" applyFont="1" applyFill="1" applyBorder="1" applyAlignment="1">
      <alignment vertical="center"/>
    </xf>
    <xf numFmtId="0" fontId="62" fillId="0" borderId="0" xfId="0" applyFont="1" applyFill="1" applyBorder="1" applyAlignment="1">
      <alignment vertical="center"/>
    </xf>
    <xf numFmtId="0" fontId="60" fillId="0" borderId="10" xfId="0" applyFont="1" applyFill="1" applyBorder="1" applyAlignment="1">
      <alignment vertical="center"/>
    </xf>
    <xf numFmtId="3" fontId="60" fillId="0" borderId="10" xfId="0" applyNumberFormat="1" applyFont="1" applyFill="1" applyBorder="1" applyAlignment="1">
      <alignment vertical="center"/>
    </xf>
    <xf numFmtId="0" fontId="60" fillId="0" borderId="0" xfId="0" applyFont="1" applyFill="1" applyBorder="1" applyAlignment="1">
      <alignment vertical="center"/>
    </xf>
    <xf numFmtId="3" fontId="63" fillId="0" borderId="10" xfId="0" applyNumberFormat="1" applyFont="1" applyFill="1" applyBorder="1" applyAlignment="1">
      <alignment vertical="center"/>
    </xf>
    <xf numFmtId="3" fontId="62" fillId="0" borderId="10" xfId="0" applyNumberFormat="1" applyFont="1" applyFill="1" applyBorder="1" applyAlignment="1">
      <alignment horizontal="center" vertical="center"/>
    </xf>
    <xf numFmtId="3" fontId="63" fillId="0" borderId="10" xfId="42" applyNumberFormat="1" applyFont="1" applyFill="1" applyBorder="1" applyAlignment="1">
      <alignment vertical="center"/>
    </xf>
    <xf numFmtId="3" fontId="62" fillId="51" borderId="10" xfId="0" applyNumberFormat="1" applyFont="1" applyFill="1" applyBorder="1" applyAlignment="1">
      <alignment horizontal="center" vertical="center"/>
    </xf>
    <xf numFmtId="3" fontId="60" fillId="55" borderId="10" xfId="42" applyNumberFormat="1" applyFont="1" applyFill="1" applyBorder="1" applyAlignment="1">
      <alignment vertical="center"/>
    </xf>
    <xf numFmtId="3" fontId="64" fillId="0" borderId="10" xfId="0" applyNumberFormat="1" applyFont="1" applyFill="1" applyBorder="1" applyAlignment="1">
      <alignment vertical="center"/>
    </xf>
    <xf numFmtId="3" fontId="62" fillId="51" borderId="10" xfId="42" applyNumberFormat="1" applyFont="1" applyFill="1" applyBorder="1" applyAlignment="1">
      <alignment vertical="center"/>
    </xf>
    <xf numFmtId="3" fontId="60" fillId="61" borderId="10" xfId="42" applyNumberFormat="1" applyFont="1" applyFill="1" applyBorder="1" applyAlignment="1">
      <alignment vertical="center"/>
    </xf>
    <xf numFmtId="0" fontId="62" fillId="38" borderId="10" xfId="0" applyFont="1" applyFill="1" applyBorder="1" applyAlignment="1">
      <alignment vertical="center"/>
    </xf>
    <xf numFmtId="3" fontId="62" fillId="38" borderId="10" xfId="42" applyNumberFormat="1" applyFont="1" applyFill="1" applyBorder="1" applyAlignment="1">
      <alignment vertical="center"/>
    </xf>
    <xf numFmtId="0" fontId="65" fillId="0" borderId="10" xfId="0" applyFont="1" applyFill="1" applyBorder="1" applyAlignment="1">
      <alignment vertical="center"/>
    </xf>
    <xf numFmtId="0" fontId="66" fillId="0" borderId="10" xfId="0" applyFont="1" applyFill="1" applyBorder="1" applyAlignment="1">
      <alignment vertical="center"/>
    </xf>
    <xf numFmtId="3" fontId="60" fillId="51" borderId="10" xfId="42" applyNumberFormat="1" applyFont="1" applyFill="1" applyBorder="1" applyAlignment="1">
      <alignment vertical="center"/>
    </xf>
    <xf numFmtId="0" fontId="67" fillId="0" borderId="10" xfId="43" applyFont="1" applyFill="1" applyBorder="1" applyAlignment="1">
      <alignment horizontal="center" vertical="center"/>
    </xf>
    <xf numFmtId="0" fontId="64" fillId="0" borderId="10" xfId="0" applyFont="1" applyFill="1" applyBorder="1" applyAlignment="1">
      <alignment vertical="center"/>
    </xf>
    <xf numFmtId="0" fontId="62" fillId="38" borderId="10" xfId="0" applyFont="1" applyFill="1" applyBorder="1" applyAlignment="1">
      <alignment vertical="center" wrapText="1"/>
    </xf>
    <xf numFmtId="0" fontId="61" fillId="0" borderId="10" xfId="0" applyFont="1" applyFill="1" applyBorder="1" applyAlignment="1">
      <alignment vertical="center"/>
    </xf>
    <xf numFmtId="0" fontId="60" fillId="38" borderId="10" xfId="0" applyFont="1" applyFill="1" applyBorder="1" applyAlignment="1">
      <alignment vertical="center"/>
    </xf>
    <xf numFmtId="3" fontId="60" fillId="0" borderId="0" xfId="42" applyNumberFormat="1" applyFont="1" applyFill="1" applyBorder="1" applyAlignment="1">
      <alignment vertical="center"/>
    </xf>
    <xf numFmtId="3" fontId="66" fillId="51" borderId="10" xfId="0" applyNumberFormat="1" applyFont="1" applyFill="1" applyBorder="1" applyAlignment="1">
      <alignment horizontal="center" vertical="center"/>
    </xf>
    <xf numFmtId="0" fontId="60" fillId="0" borderId="10" xfId="0" applyFont="1" applyFill="1" applyBorder="1" applyAlignment="1">
      <alignment horizontal="center" vertical="center"/>
    </xf>
    <xf numFmtId="0" fontId="60" fillId="38" borderId="10" xfId="0" applyFont="1" applyFill="1" applyBorder="1" applyAlignment="1">
      <alignment horizontal="center" vertical="center"/>
    </xf>
    <xf numFmtId="0" fontId="66" fillId="38" borderId="10" xfId="0" applyFont="1" applyFill="1" applyBorder="1" applyAlignment="1">
      <alignment vertical="center" wrapText="1"/>
    </xf>
    <xf numFmtId="0" fontId="61" fillId="38" borderId="10" xfId="0" applyFont="1" applyFill="1" applyBorder="1" applyAlignment="1">
      <alignment vertical="center"/>
    </xf>
    <xf numFmtId="0" fontId="63" fillId="38" borderId="10" xfId="0" applyFont="1" applyFill="1" applyBorder="1" applyAlignment="1">
      <alignment vertical="center"/>
    </xf>
    <xf numFmtId="3" fontId="66" fillId="38" borderId="10" xfId="42" applyNumberFormat="1" applyFont="1" applyFill="1" applyBorder="1" applyAlignment="1">
      <alignment vertical="center"/>
    </xf>
    <xf numFmtId="0" fontId="68" fillId="0" borderId="10" xfId="0" applyFont="1" applyFill="1" applyBorder="1" applyAlignment="1">
      <alignment vertical="center"/>
    </xf>
    <xf numFmtId="0" fontId="69" fillId="0" borderId="10" xfId="0" applyFont="1" applyFill="1" applyBorder="1" applyAlignment="1">
      <alignment vertical="center"/>
    </xf>
    <xf numFmtId="0" fontId="62" fillId="0" borderId="10" xfId="0" applyFont="1" applyFill="1" applyBorder="1" applyAlignment="1">
      <alignment horizontal="center" vertical="center"/>
    </xf>
    <xf numFmtId="0" fontId="66" fillId="38" borderId="10" xfId="0" applyFont="1" applyFill="1" applyBorder="1" applyAlignment="1">
      <alignment vertical="center"/>
    </xf>
    <xf numFmtId="3" fontId="60" fillId="0" borderId="0" xfId="0" applyNumberFormat="1" applyFont="1" applyFill="1" applyBorder="1" applyAlignment="1">
      <alignment horizontal="center" vertical="center"/>
    </xf>
    <xf numFmtId="3" fontId="60" fillId="0" borderId="0" xfId="0" applyNumberFormat="1" applyFont="1" applyFill="1" applyBorder="1" applyAlignment="1">
      <alignment vertical="center"/>
    </xf>
    <xf numFmtId="0" fontId="65" fillId="48" borderId="22" xfId="0" applyFont="1" applyFill="1" applyBorder="1" applyAlignment="1">
      <alignment vertical="center"/>
    </xf>
    <xf numFmtId="0" fontId="65" fillId="48" borderId="23" xfId="0" applyFont="1" applyFill="1" applyBorder="1" applyAlignment="1">
      <alignment vertical="center"/>
    </xf>
    <xf numFmtId="0" fontId="62" fillId="48" borderId="23" xfId="0" applyFont="1" applyFill="1" applyBorder="1" applyAlignment="1">
      <alignment vertical="center"/>
    </xf>
    <xf numFmtId="3" fontId="65" fillId="48" borderId="44" xfId="42" applyNumberFormat="1" applyFont="1" applyFill="1" applyBorder="1" applyAlignment="1">
      <alignment vertical="center"/>
    </xf>
    <xf numFmtId="0" fontId="62" fillId="48" borderId="62" xfId="0" applyFont="1" applyFill="1" applyBorder="1" applyAlignment="1">
      <alignment vertical="center"/>
    </xf>
    <xf numFmtId="0" fontId="62" fillId="48" borderId="0" xfId="0" applyFont="1" applyFill="1" applyBorder="1" applyAlignment="1">
      <alignment vertical="center"/>
    </xf>
    <xf numFmtId="3" fontId="62" fillId="48" borderId="63" xfId="42" applyNumberFormat="1" applyFont="1" applyFill="1" applyBorder="1" applyAlignment="1">
      <alignment vertical="center"/>
    </xf>
    <xf numFmtId="0" fontId="62" fillId="48" borderId="40" xfId="0" applyFont="1" applyFill="1" applyBorder="1" applyAlignment="1">
      <alignment vertical="center"/>
    </xf>
    <xf numFmtId="0" fontId="62" fillId="48" borderId="41" xfId="0" applyFont="1" applyFill="1" applyBorder="1" applyAlignment="1">
      <alignment vertical="center"/>
    </xf>
    <xf numFmtId="3" fontId="62" fillId="48" borderId="42" xfId="42" applyNumberFormat="1" applyFont="1" applyFill="1" applyBorder="1" applyAlignment="1">
      <alignment vertical="center"/>
    </xf>
    <xf numFmtId="0" fontId="65" fillId="35" borderId="62" xfId="0" applyFont="1" applyFill="1" applyBorder="1" applyAlignment="1">
      <alignment vertical="center"/>
    </xf>
    <xf numFmtId="0" fontId="65" fillId="35" borderId="0" xfId="0" applyFont="1" applyFill="1" applyBorder="1" applyAlignment="1">
      <alignment vertical="center"/>
    </xf>
    <xf numFmtId="3" fontId="65" fillId="35" borderId="63" xfId="42" applyNumberFormat="1" applyFont="1" applyFill="1" applyBorder="1" applyAlignment="1">
      <alignment vertical="center"/>
    </xf>
    <xf numFmtId="0" fontId="62" fillId="35" borderId="62" xfId="0" applyFont="1" applyFill="1" applyBorder="1" applyAlignment="1">
      <alignment vertical="center"/>
    </xf>
    <xf numFmtId="0" fontId="62" fillId="35" borderId="0" xfId="0" applyFont="1" applyFill="1" applyBorder="1" applyAlignment="1">
      <alignment vertical="center"/>
    </xf>
    <xf numFmtId="3" fontId="62" fillId="35" borderId="63" xfId="42" applyNumberFormat="1" applyFont="1" applyFill="1" applyBorder="1" applyAlignment="1">
      <alignment vertical="center"/>
    </xf>
    <xf numFmtId="0" fontId="62" fillId="35" borderId="40" xfId="0" applyFont="1" applyFill="1" applyBorder="1" applyAlignment="1">
      <alignment vertical="center"/>
    </xf>
    <xf numFmtId="0" fontId="62" fillId="35" borderId="41" xfId="0" applyFont="1" applyFill="1" applyBorder="1" applyAlignment="1">
      <alignment vertical="center"/>
    </xf>
    <xf numFmtId="3" fontId="62" fillId="35" borderId="42" xfId="42" applyNumberFormat="1" applyFont="1" applyFill="1" applyBorder="1" applyAlignment="1">
      <alignment vertical="center"/>
    </xf>
    <xf numFmtId="0" fontId="62" fillId="38" borderId="62" xfId="0" applyFont="1" applyFill="1" applyBorder="1" applyAlignment="1">
      <alignment vertical="center"/>
    </xf>
    <xf numFmtId="0" fontId="62" fillId="38" borderId="0" xfId="0" applyFont="1" applyFill="1" applyBorder="1" applyAlignment="1">
      <alignment vertical="center"/>
    </xf>
    <xf numFmtId="3" fontId="62" fillId="38" borderId="63" xfId="0" applyNumberFormat="1" applyFont="1" applyFill="1" applyBorder="1" applyAlignment="1">
      <alignment vertical="center"/>
    </xf>
    <xf numFmtId="0" fontId="62" fillId="57" borderId="62" xfId="0" applyFont="1" applyFill="1" applyBorder="1" applyAlignment="1">
      <alignment vertical="center"/>
    </xf>
    <xf numFmtId="0" fontId="62" fillId="57" borderId="0" xfId="0" applyFont="1" applyFill="1" applyBorder="1" applyAlignment="1">
      <alignment vertical="center"/>
    </xf>
    <xf numFmtId="3" fontId="62" fillId="57" borderId="63" xfId="0" applyNumberFormat="1" applyFont="1" applyFill="1" applyBorder="1" applyAlignment="1">
      <alignment vertical="center"/>
    </xf>
    <xf numFmtId="0" fontId="62" fillId="44" borderId="40" xfId="0" applyFont="1" applyFill="1" applyBorder="1" applyAlignment="1">
      <alignment vertical="center"/>
    </xf>
    <xf numFmtId="0" fontId="62" fillId="44" borderId="41" xfId="0" applyFont="1" applyFill="1" applyBorder="1" applyAlignment="1">
      <alignment vertical="center"/>
    </xf>
    <xf numFmtId="3" fontId="62" fillId="44" borderId="42" xfId="42" applyNumberFormat="1" applyFont="1" applyFill="1" applyBorder="1" applyAlignment="1">
      <alignment vertical="center"/>
    </xf>
    <xf numFmtId="0" fontId="60" fillId="0" borderId="0" xfId="0" applyFont="1" applyBorder="1" applyAlignment="1">
      <alignment vertical="center"/>
    </xf>
    <xf numFmtId="0" fontId="60" fillId="0" borderId="0" xfId="0" applyFont="1" applyBorder="1" applyAlignment="1">
      <alignment horizontal="center" vertical="center"/>
    </xf>
    <xf numFmtId="3" fontId="60" fillId="0" borderId="0" xfId="0" applyNumberFormat="1" applyFont="1" applyBorder="1" applyAlignment="1">
      <alignment vertical="center"/>
    </xf>
    <xf numFmtId="0" fontId="60" fillId="0" borderId="0" xfId="0" applyFont="1"/>
    <xf numFmtId="0" fontId="0" fillId="0" borderId="0" xfId="0" applyBorder="1" applyAlignment="1">
      <alignment vertical="center"/>
    </xf>
    <xf numFmtId="0" fontId="0" fillId="0" borderId="0" xfId="0" applyAlignment="1">
      <alignment vertical="center"/>
    </xf>
    <xf numFmtId="0" fontId="23" fillId="0" borderId="0" xfId="0" applyFont="1" applyAlignment="1">
      <alignment vertical="center"/>
    </xf>
    <xf numFmtId="0" fontId="60" fillId="0" borderId="10" xfId="0" applyFont="1" applyBorder="1" applyAlignment="1">
      <alignment vertical="center"/>
    </xf>
    <xf numFmtId="165" fontId="31" fillId="0" borderId="0" xfId="42" applyNumberFormat="1" applyFont="1" applyAlignment="1">
      <alignment horizontal="center" vertical="center" wrapText="1"/>
    </xf>
    <xf numFmtId="0" fontId="57" fillId="0" borderId="0" xfId="0" applyFont="1"/>
    <xf numFmtId="3" fontId="64" fillId="0" borderId="10" xfId="42" applyNumberFormat="1" applyFont="1" applyFill="1" applyBorder="1" applyAlignment="1">
      <alignment vertical="center"/>
    </xf>
    <xf numFmtId="171" fontId="67" fillId="47" borderId="74" xfId="0" applyNumberFormat="1" applyFont="1" applyFill="1" applyBorder="1" applyAlignment="1">
      <alignment horizontal="center" vertical="center"/>
    </xf>
    <xf numFmtId="171" fontId="67" fillId="47" borderId="74" xfId="0" applyNumberFormat="1" applyFont="1" applyFill="1" applyBorder="1"/>
    <xf numFmtId="171" fontId="67" fillId="37" borderId="0" xfId="0" applyNumberFormat="1" applyFont="1" applyFill="1"/>
    <xf numFmtId="0" fontId="60" fillId="0" borderId="0" xfId="0" applyFont="1" applyFill="1" applyBorder="1" applyAlignment="1">
      <alignment horizontal="center" vertical="center" wrapText="1"/>
    </xf>
    <xf numFmtId="0" fontId="72" fillId="0" borderId="0" xfId="0" applyFont="1"/>
    <xf numFmtId="0" fontId="72" fillId="0" borderId="0" xfId="0" applyFont="1" applyAlignment="1">
      <alignment wrapText="1"/>
    </xf>
    <xf numFmtId="165" fontId="73" fillId="0" borderId="0" xfId="53" applyNumberFormat="1" applyFont="1" applyFill="1" applyBorder="1"/>
    <xf numFmtId="165" fontId="74" fillId="0" borderId="0" xfId="53" applyNumberFormat="1" applyFont="1" applyFill="1" applyBorder="1"/>
    <xf numFmtId="165" fontId="6" fillId="0" borderId="0" xfId="53" applyNumberFormat="1" applyFont="1" applyFill="1" applyBorder="1"/>
    <xf numFmtId="165" fontId="75" fillId="0" borderId="0" xfId="53" applyNumberFormat="1" applyFont="1" applyFill="1" applyBorder="1"/>
    <xf numFmtId="165" fontId="26" fillId="0" borderId="0" xfId="53" applyNumberFormat="1" applyFont="1" applyFill="1" applyBorder="1"/>
    <xf numFmtId="164" fontId="6" fillId="0" borderId="0" xfId="53" applyFont="1" applyFill="1" applyBorder="1"/>
    <xf numFmtId="164" fontId="75" fillId="0" borderId="0" xfId="53" applyFont="1" applyFill="1" applyBorder="1"/>
    <xf numFmtId="2" fontId="75" fillId="0" borderId="0" xfId="54" applyNumberFormat="1" applyFont="1" applyAlignment="1">
      <alignment horizontal="center" vertical="center"/>
    </xf>
    <xf numFmtId="165" fontId="0" fillId="0" borderId="0" xfId="55" applyNumberFormat="1" applyFont="1" applyFill="1" applyBorder="1"/>
    <xf numFmtId="0" fontId="0" fillId="0" borderId="0" xfId="53" applyNumberFormat="1" applyFont="1" applyFill="1" applyBorder="1"/>
    <xf numFmtId="165" fontId="59" fillId="0" borderId="0" xfId="53" applyNumberFormat="1" applyFont="1" applyFill="1" applyBorder="1"/>
    <xf numFmtId="165" fontId="75" fillId="62" borderId="0" xfId="53" applyNumberFormat="1" applyFont="1" applyFill="1" applyBorder="1"/>
    <xf numFmtId="164" fontId="75" fillId="62" borderId="0" xfId="53" applyFont="1" applyFill="1" applyBorder="1"/>
    <xf numFmtId="165" fontId="59" fillId="62" borderId="0" xfId="53" applyNumberFormat="1" applyFont="1" applyFill="1" applyBorder="1"/>
    <xf numFmtId="165" fontId="26" fillId="37" borderId="0" xfId="53" applyNumberFormat="1" applyFont="1" applyFill="1" applyBorder="1"/>
    <xf numFmtId="165" fontId="59" fillId="37" borderId="0" xfId="53" applyNumberFormat="1" applyFont="1" applyFill="1" applyBorder="1"/>
    <xf numFmtId="0" fontId="5" fillId="0" borderId="0" xfId="56"/>
    <xf numFmtId="0" fontId="77" fillId="0" borderId="0" xfId="56" applyFont="1"/>
    <xf numFmtId="0" fontId="79" fillId="0" borderId="0" xfId="56" applyFont="1"/>
    <xf numFmtId="0" fontId="78" fillId="0" borderId="0" xfId="56" applyFont="1"/>
    <xf numFmtId="0" fontId="35" fillId="0" borderId="0" xfId="56" applyFont="1" applyAlignment="1">
      <alignment vertical="center" wrapText="1"/>
    </xf>
    <xf numFmtId="0" fontId="75" fillId="0" borderId="0" xfId="58" applyFont="1"/>
    <xf numFmtId="0" fontId="5" fillId="0" borderId="0" xfId="58"/>
    <xf numFmtId="0" fontId="26" fillId="0" borderId="0" xfId="58" applyFont="1"/>
    <xf numFmtId="165" fontId="75" fillId="0" borderId="0" xfId="59" applyNumberFormat="1" applyFont="1" applyFill="1" applyBorder="1"/>
    <xf numFmtId="0" fontId="71" fillId="0" borderId="86" xfId="0" applyFont="1" applyBorder="1" applyAlignment="1">
      <alignment horizontal="center" vertical="center" wrapText="1"/>
    </xf>
    <xf numFmtId="0" fontId="71" fillId="0" borderId="87" xfId="0" applyFont="1" applyBorder="1" applyAlignment="1">
      <alignment horizontal="center" vertical="center" wrapText="1"/>
    </xf>
    <xf numFmtId="0" fontId="71" fillId="0" borderId="88" xfId="0" applyFont="1" applyBorder="1" applyAlignment="1">
      <alignment horizontal="left" vertical="center" wrapText="1"/>
    </xf>
    <xf numFmtId="0" fontId="57" fillId="0" borderId="0" xfId="58" applyFont="1"/>
    <xf numFmtId="0" fontId="70" fillId="38" borderId="32" xfId="58" applyFont="1" applyFill="1" applyBorder="1" applyAlignment="1">
      <alignment horizontal="center" vertical="center" wrapText="1"/>
    </xf>
    <xf numFmtId="0" fontId="70" fillId="38" borderId="83" xfId="58" applyFont="1" applyFill="1" applyBorder="1" applyAlignment="1">
      <alignment horizontal="center" vertical="center" wrapText="1"/>
    </xf>
    <xf numFmtId="0" fontId="70" fillId="38" borderId="61" xfId="58" applyFont="1" applyFill="1" applyBorder="1" applyAlignment="1">
      <alignment horizontal="center" vertical="center" wrapText="1"/>
    </xf>
    <xf numFmtId="0" fontId="56" fillId="38" borderId="84" xfId="58" applyFont="1" applyFill="1" applyBorder="1" applyAlignment="1">
      <alignment horizontal="center" vertical="center" wrapText="1"/>
    </xf>
    <xf numFmtId="0" fontId="56" fillId="38" borderId="82" xfId="58" applyFont="1" applyFill="1" applyBorder="1" applyAlignment="1">
      <alignment horizontal="center" vertical="center" wrapText="1"/>
    </xf>
    <xf numFmtId="0" fontId="56" fillId="38" borderId="81" xfId="58" applyFont="1" applyFill="1" applyBorder="1" applyAlignment="1">
      <alignment horizontal="center" vertical="center" wrapText="1"/>
    </xf>
    <xf numFmtId="0" fontId="56" fillId="35" borderId="84" xfId="58" applyFont="1" applyFill="1" applyBorder="1" applyAlignment="1">
      <alignment horizontal="center" vertical="center" wrapText="1"/>
    </xf>
    <xf numFmtId="0" fontId="70" fillId="38" borderId="34" xfId="58" applyFont="1" applyFill="1" applyBorder="1" applyAlignment="1">
      <alignment horizontal="center" vertical="center" wrapText="1"/>
    </xf>
    <xf numFmtId="0" fontId="70" fillId="38" borderId="81" xfId="58" applyFont="1" applyFill="1" applyBorder="1" applyAlignment="1">
      <alignment horizontal="center" vertical="center" wrapText="1"/>
    </xf>
    <xf numFmtId="3" fontId="57" fillId="63" borderId="85" xfId="59" applyNumberFormat="1" applyFont="1" applyFill="1" applyBorder="1" applyAlignment="1">
      <alignment vertical="center" wrapText="1"/>
    </xf>
    <xf numFmtId="3" fontId="57" fillId="0" borderId="85" xfId="59" applyNumberFormat="1" applyFont="1" applyFill="1" applyBorder="1" applyAlignment="1">
      <alignment vertical="center" wrapText="1"/>
    </xf>
    <xf numFmtId="3" fontId="57" fillId="0" borderId="86" xfId="59" applyNumberFormat="1" applyFont="1" applyFill="1" applyBorder="1" applyAlignment="1">
      <alignment vertical="center" wrapText="1"/>
    </xf>
    <xf numFmtId="3" fontId="57" fillId="0" borderId="88" xfId="59" applyNumberFormat="1" applyFont="1" applyFill="1" applyBorder="1" applyAlignment="1">
      <alignment vertical="center"/>
    </xf>
    <xf numFmtId="0" fontId="56" fillId="38" borderId="55" xfId="58" applyFont="1" applyFill="1" applyBorder="1" applyAlignment="1">
      <alignment vertical="center" wrapText="1"/>
    </xf>
    <xf numFmtId="3" fontId="56" fillId="38" borderId="55" xfId="58" applyNumberFormat="1" applyFont="1" applyFill="1" applyBorder="1" applyAlignment="1">
      <alignment vertical="center"/>
    </xf>
    <xf numFmtId="3" fontId="56" fillId="38" borderId="51" xfId="58" applyNumberFormat="1" applyFont="1" applyFill="1" applyBorder="1" applyAlignment="1">
      <alignment vertical="center"/>
    </xf>
    <xf numFmtId="3" fontId="56" fillId="38" borderId="53" xfId="58" applyNumberFormat="1" applyFont="1" applyFill="1" applyBorder="1" applyAlignment="1">
      <alignment vertical="center"/>
    </xf>
    <xf numFmtId="3" fontId="56" fillId="35" borderId="85" xfId="59" applyNumberFormat="1" applyFont="1" applyFill="1" applyBorder="1" applyAlignment="1">
      <alignment vertical="center" wrapText="1"/>
    </xf>
    <xf numFmtId="3" fontId="56" fillId="35" borderId="89" xfId="59" applyNumberFormat="1" applyFont="1" applyFill="1" applyBorder="1" applyAlignment="1">
      <alignment vertical="center" wrapText="1"/>
    </xf>
    <xf numFmtId="3" fontId="56" fillId="64" borderId="55" xfId="58" applyNumberFormat="1" applyFont="1" applyFill="1" applyBorder="1" applyAlignment="1">
      <alignment vertical="center"/>
    </xf>
    <xf numFmtId="0" fontId="71" fillId="0" borderId="85" xfId="58" applyFont="1" applyBorder="1" applyAlignment="1">
      <alignment horizontal="center" vertical="center"/>
    </xf>
    <xf numFmtId="3" fontId="60" fillId="0" borderId="0" xfId="0" applyNumberFormat="1" applyFont="1" applyBorder="1"/>
    <xf numFmtId="3" fontId="5" fillId="0" borderId="0" xfId="56" applyNumberFormat="1"/>
    <xf numFmtId="0" fontId="0" fillId="0" borderId="0" xfId="0" applyFill="1" applyBorder="1" applyAlignment="1">
      <alignment vertical="center"/>
    </xf>
    <xf numFmtId="165" fontId="0" fillId="0" borderId="0" xfId="42" applyNumberFormat="1" applyFont="1"/>
    <xf numFmtId="170" fontId="62" fillId="0" borderId="10" xfId="42" applyNumberFormat="1" applyFont="1" applyFill="1" applyBorder="1" applyAlignment="1">
      <alignment vertical="center"/>
    </xf>
    <xf numFmtId="0" fontId="83" fillId="0" borderId="0" xfId="0" applyFont="1" applyAlignment="1">
      <alignment wrapText="1"/>
    </xf>
    <xf numFmtId="0" fontId="83" fillId="0" borderId="0" xfId="0" pivotButton="1" applyFont="1" applyAlignment="1">
      <alignment wrapText="1"/>
    </xf>
    <xf numFmtId="0" fontId="83" fillId="0" borderId="0" xfId="0" applyFont="1"/>
    <xf numFmtId="171" fontId="83" fillId="0" borderId="0" xfId="0" applyNumberFormat="1" applyFont="1"/>
    <xf numFmtId="0" fontId="83" fillId="0" borderId="0" xfId="0" applyNumberFormat="1" applyFont="1"/>
    <xf numFmtId="0" fontId="83" fillId="0" borderId="0" xfId="0" applyNumberFormat="1" applyFont="1" applyFill="1"/>
    <xf numFmtId="171" fontId="83" fillId="0" borderId="0" xfId="0" applyNumberFormat="1" applyFont="1" applyFill="1"/>
    <xf numFmtId="0" fontId="72" fillId="36" borderId="0" xfId="0" applyFont="1" applyFill="1"/>
    <xf numFmtId="0" fontId="83" fillId="36" borderId="0" xfId="0" applyFont="1" applyFill="1" applyAlignment="1">
      <alignment wrapText="1"/>
    </xf>
    <xf numFmtId="3" fontId="62" fillId="35" borderId="10" xfId="0" applyNumberFormat="1" applyFont="1" applyFill="1" applyBorder="1" applyAlignment="1">
      <alignment vertical="center"/>
    </xf>
    <xf numFmtId="0" fontId="62" fillId="0" borderId="10" xfId="0" applyFont="1" applyBorder="1" applyAlignment="1">
      <alignment vertical="center"/>
    </xf>
    <xf numFmtId="3" fontId="62" fillId="0" borderId="10" xfId="0" applyNumberFormat="1" applyFont="1" applyBorder="1" applyAlignment="1">
      <alignment vertical="center"/>
    </xf>
    <xf numFmtId="3" fontId="60" fillId="0" borderId="10" xfId="0" applyNumberFormat="1" applyFont="1" applyBorder="1" applyAlignment="1">
      <alignment horizontal="center" vertical="center"/>
    </xf>
    <xf numFmtId="0" fontId="62" fillId="44" borderId="10" xfId="0" applyFont="1" applyFill="1" applyBorder="1" applyAlignment="1">
      <alignment vertical="center"/>
    </xf>
    <xf numFmtId="3" fontId="62" fillId="44" borderId="10" xfId="0" applyNumberFormat="1" applyFont="1" applyFill="1" applyBorder="1" applyAlignment="1">
      <alignment vertical="center"/>
    </xf>
    <xf numFmtId="3" fontId="62" fillId="44" borderId="10" xfId="42" applyNumberFormat="1" applyFont="1" applyFill="1" applyBorder="1" applyAlignment="1">
      <alignment vertical="center"/>
    </xf>
    <xf numFmtId="0" fontId="62" fillId="41" borderId="10" xfId="0" applyFont="1" applyFill="1" applyBorder="1" applyAlignment="1">
      <alignment horizontal="center" vertical="center" wrapText="1"/>
    </xf>
    <xf numFmtId="0" fontId="62" fillId="60" borderId="10" xfId="0" applyFont="1" applyFill="1" applyBorder="1" applyAlignment="1">
      <alignment horizontal="center" vertical="center" wrapText="1"/>
    </xf>
    <xf numFmtId="0" fontId="66" fillId="43" borderId="10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172" fontId="0" fillId="0" borderId="0" xfId="42" applyNumberFormat="1" applyFont="1"/>
    <xf numFmtId="3" fontId="34" fillId="66" borderId="0" xfId="45" applyNumberFormat="1" applyFill="1" applyAlignment="1">
      <alignment horizontal="right" vertical="top"/>
    </xf>
    <xf numFmtId="3" fontId="0" fillId="0" borderId="0" xfId="0" applyNumberFormat="1" applyAlignment="1">
      <alignment horizontal="right" vertical="top"/>
    </xf>
    <xf numFmtId="0" fontId="34" fillId="33" borderId="0" xfId="0" applyFont="1" applyFill="1" applyAlignment="1">
      <alignment vertical="top"/>
    </xf>
    <xf numFmtId="0" fontId="0" fillId="36" borderId="0" xfId="0" applyFill="1"/>
    <xf numFmtId="0" fontId="82" fillId="0" borderId="0" xfId="0" applyFont="1"/>
    <xf numFmtId="0" fontId="26" fillId="36" borderId="0" xfId="0" applyFont="1" applyFill="1" applyAlignment="1">
      <alignment horizontal="center" vertical="center" wrapText="1"/>
    </xf>
    <xf numFmtId="165" fontId="0" fillId="0" borderId="0" xfId="42" applyNumberFormat="1" applyFont="1" applyFill="1"/>
    <xf numFmtId="0" fontId="0" fillId="0" borderId="0" xfId="0" applyFill="1" applyBorder="1"/>
    <xf numFmtId="165" fontId="27" fillId="0" borderId="0" xfId="42" applyNumberFormat="1" applyFont="1"/>
    <xf numFmtId="0" fontId="0" fillId="56" borderId="0" xfId="0" applyFill="1"/>
    <xf numFmtId="165" fontId="0" fillId="56" borderId="0" xfId="42" applyNumberFormat="1" applyFont="1" applyFill="1"/>
    <xf numFmtId="165" fontId="0" fillId="36" borderId="0" xfId="42" applyNumberFormat="1" applyFont="1" applyFill="1"/>
    <xf numFmtId="165" fontId="0" fillId="39" borderId="0" xfId="42" applyNumberFormat="1" applyFont="1" applyFill="1"/>
    <xf numFmtId="165" fontId="28" fillId="0" borderId="0" xfId="42" applyNumberFormat="1" applyFont="1" applyFill="1"/>
    <xf numFmtId="165" fontId="28" fillId="56" borderId="0" xfId="42" applyNumberFormat="1" applyFont="1" applyFill="1"/>
    <xf numFmtId="165" fontId="27" fillId="56" borderId="0" xfId="42" applyNumberFormat="1" applyFont="1" applyFill="1"/>
    <xf numFmtId="0" fontId="84" fillId="0" borderId="0" xfId="0" applyFont="1"/>
    <xf numFmtId="0" fontId="34" fillId="0" borderId="0" xfId="49" applyAlignment="1">
      <alignment vertical="top"/>
    </xf>
    <xf numFmtId="0" fontId="46" fillId="47" borderId="10" xfId="49" applyFont="1" applyFill="1" applyBorder="1" applyAlignment="1">
      <alignment horizontal="center" vertical="center"/>
    </xf>
    <xf numFmtId="3" fontId="46" fillId="47" borderId="10" xfId="49" applyNumberFormat="1" applyFont="1" applyFill="1" applyBorder="1" applyAlignment="1">
      <alignment horizontal="center" vertical="center" wrapText="1"/>
    </xf>
    <xf numFmtId="0" fontId="46" fillId="0" borderId="94" xfId="0" applyFont="1" applyBorder="1"/>
    <xf numFmtId="0" fontId="46" fillId="0" borderId="10" xfId="0" applyFont="1" applyBorder="1" applyAlignment="1">
      <alignment horizontal="center"/>
    </xf>
    <xf numFmtId="3" fontId="34" fillId="0" borderId="10" xfId="49" applyNumberFormat="1" applyFill="1" applyBorder="1" applyAlignment="1">
      <alignment vertical="top"/>
    </xf>
    <xf numFmtId="0" fontId="34" fillId="0" borderId="10" xfId="49" applyFont="1" applyBorder="1" applyAlignment="1">
      <alignment vertical="top"/>
    </xf>
    <xf numFmtId="0" fontId="34" fillId="0" borderId="10" xfId="49" applyBorder="1" applyAlignment="1">
      <alignment vertical="top"/>
    </xf>
    <xf numFmtId="0" fontId="46" fillId="0" borderId="10" xfId="49" applyFont="1" applyBorder="1" applyAlignment="1">
      <alignment vertical="top"/>
    </xf>
    <xf numFmtId="0" fontId="46" fillId="0" borderId="10" xfId="49" applyFont="1" applyBorder="1" applyAlignment="1">
      <alignment horizontal="center" vertical="center"/>
    </xf>
    <xf numFmtId="0" fontId="46" fillId="36" borderId="10" xfId="49" applyFont="1" applyFill="1" applyBorder="1" applyAlignment="1">
      <alignment vertical="top"/>
    </xf>
    <xf numFmtId="0" fontId="46" fillId="36" borderId="10" xfId="49" applyFont="1" applyFill="1" applyBorder="1" applyAlignment="1">
      <alignment horizontal="center" vertical="center"/>
    </xf>
    <xf numFmtId="3" fontId="45" fillId="36" borderId="10" xfId="49" applyNumberFormat="1" applyFont="1" applyFill="1" applyBorder="1" applyAlignment="1">
      <alignment vertical="top"/>
    </xf>
    <xf numFmtId="0" fontId="34" fillId="53" borderId="10" xfId="49" applyFont="1" applyFill="1" applyBorder="1" applyAlignment="1">
      <alignment vertical="top"/>
    </xf>
    <xf numFmtId="0" fontId="34" fillId="53" borderId="10" xfId="49" applyFill="1" applyBorder="1" applyAlignment="1">
      <alignment vertical="top"/>
    </xf>
    <xf numFmtId="0" fontId="47" fillId="0" borderId="10" xfId="49" applyFont="1" applyBorder="1" applyAlignment="1">
      <alignment vertical="top"/>
    </xf>
    <xf numFmtId="0" fontId="46" fillId="0" borderId="0" xfId="0" applyFont="1" applyAlignment="1">
      <alignment horizontal="center"/>
    </xf>
    <xf numFmtId="0" fontId="46" fillId="53" borderId="10" xfId="49" applyFont="1" applyFill="1" applyBorder="1" applyAlignment="1">
      <alignment vertical="top"/>
    </xf>
    <xf numFmtId="0" fontId="46" fillId="54" borderId="10" xfId="49" applyFont="1" applyFill="1" applyBorder="1" applyAlignment="1">
      <alignment vertical="top"/>
    </xf>
    <xf numFmtId="0" fontId="46" fillId="54" borderId="10" xfId="49" applyFont="1" applyFill="1" applyBorder="1" applyAlignment="1">
      <alignment horizontal="center" vertical="center"/>
    </xf>
    <xf numFmtId="3" fontId="45" fillId="46" borderId="10" xfId="49" applyNumberFormat="1" applyFont="1" applyFill="1" applyBorder="1" applyAlignment="1">
      <alignment vertical="top"/>
    </xf>
    <xf numFmtId="0" fontId="26" fillId="38" borderId="10" xfId="0" applyFont="1" applyFill="1" applyBorder="1" applyAlignment="1">
      <alignment vertical="top" wrapText="1"/>
    </xf>
    <xf numFmtId="0" fontId="28" fillId="0" borderId="0" xfId="0" applyFont="1"/>
    <xf numFmtId="167" fontId="41" fillId="38" borderId="10" xfId="49" applyNumberFormat="1" applyFont="1" applyFill="1" applyBorder="1" applyAlignment="1">
      <alignment horizontal="left" vertical="center" wrapText="1"/>
    </xf>
    <xf numFmtId="0" fontId="39" fillId="38" borderId="10" xfId="0" applyFont="1" applyFill="1" applyBorder="1" applyAlignment="1">
      <alignment horizontal="center" vertical="center" wrapText="1"/>
    </xf>
    <xf numFmtId="167" fontId="41" fillId="38" borderId="10" xfId="49" applyNumberFormat="1" applyFont="1" applyFill="1" applyBorder="1" applyAlignment="1">
      <alignment horizontal="center" vertical="center" wrapText="1"/>
    </xf>
    <xf numFmtId="167" fontId="41" fillId="38" borderId="15" xfId="49" applyNumberFormat="1" applyFont="1" applyFill="1" applyBorder="1" applyAlignment="1">
      <alignment horizontal="center" vertical="center" wrapText="1"/>
    </xf>
    <xf numFmtId="165" fontId="40" fillId="0" borderId="10" xfId="42" applyNumberFormat="1" applyFont="1" applyBorder="1"/>
    <xf numFmtId="3" fontId="36" fillId="0" borderId="10" xfId="46" applyNumberFormat="1" applyFont="1" applyFill="1" applyBorder="1" applyAlignment="1">
      <alignment vertical="center" wrapText="1"/>
    </xf>
    <xf numFmtId="165" fontId="40" fillId="39" borderId="10" xfId="42" applyNumberFormat="1" applyFont="1" applyFill="1" applyBorder="1"/>
    <xf numFmtId="165" fontId="40" fillId="0" borderId="10" xfId="42" applyNumberFormat="1" applyFont="1" applyBorder="1" applyAlignment="1">
      <alignment vertical="center"/>
    </xf>
    <xf numFmtId="165" fontId="40" fillId="0" borderId="15" xfId="42" applyNumberFormat="1" applyFont="1" applyFill="1" applyBorder="1" applyAlignment="1">
      <alignment vertical="center"/>
    </xf>
    <xf numFmtId="3" fontId="36" fillId="0" borderId="13" xfId="46" applyNumberFormat="1" applyFont="1" applyFill="1" applyBorder="1" applyAlignment="1">
      <alignment vertical="center" wrapText="1"/>
    </xf>
    <xf numFmtId="165" fontId="36" fillId="0" borderId="10" xfId="42" applyNumberFormat="1" applyFont="1" applyBorder="1"/>
    <xf numFmtId="165" fontId="40" fillId="34" borderId="10" xfId="42" applyNumberFormat="1" applyFont="1" applyFill="1" applyBorder="1" applyAlignment="1">
      <alignment vertical="center"/>
    </xf>
    <xf numFmtId="165" fontId="40" fillId="39" borderId="10" xfId="42" applyNumberFormat="1" applyFont="1" applyFill="1" applyBorder="1" applyAlignment="1">
      <alignment vertical="center"/>
    </xf>
    <xf numFmtId="165" fontId="40" fillId="0" borderId="10" xfId="42" applyNumberFormat="1" applyFont="1" applyFill="1" applyBorder="1" applyAlignment="1">
      <alignment vertical="center"/>
    </xf>
    <xf numFmtId="165" fontId="40" fillId="37" borderId="10" xfId="42" applyNumberFormat="1" applyFont="1" applyFill="1" applyBorder="1" applyAlignment="1">
      <alignment vertical="center"/>
    </xf>
    <xf numFmtId="3" fontId="36" fillId="34" borderId="10" xfId="0" applyNumberFormat="1" applyFont="1" applyFill="1" applyBorder="1" applyAlignment="1">
      <alignment wrapText="1"/>
    </xf>
    <xf numFmtId="3" fontId="36" fillId="34" borderId="13" xfId="46" applyNumberFormat="1" applyFont="1" applyFill="1" applyBorder="1" applyAlignment="1">
      <alignment vertical="center" wrapText="1"/>
    </xf>
    <xf numFmtId="165" fontId="36" fillId="38" borderId="10" xfId="42" applyNumberFormat="1" applyFont="1" applyFill="1" applyBorder="1" applyAlignment="1">
      <alignment vertical="center"/>
    </xf>
    <xf numFmtId="165" fontId="36" fillId="49" borderId="10" xfId="42" applyNumberFormat="1" applyFont="1" applyFill="1" applyBorder="1" applyAlignment="1">
      <alignment vertical="center"/>
    </xf>
    <xf numFmtId="165" fontId="36" fillId="50" borderId="10" xfId="42" applyNumberFormat="1" applyFont="1" applyFill="1" applyBorder="1" applyAlignment="1">
      <alignment vertical="center"/>
    </xf>
    <xf numFmtId="165" fontId="36" fillId="0" borderId="10" xfId="42" applyNumberFormat="1" applyFont="1" applyFill="1" applyBorder="1" applyAlignment="1">
      <alignment vertical="center"/>
    </xf>
    <xf numFmtId="165" fontId="36" fillId="51" borderId="10" xfId="42" applyNumberFormat="1" applyFont="1" applyFill="1" applyBorder="1" applyAlignment="1">
      <alignment vertical="center"/>
    </xf>
    <xf numFmtId="165" fontId="36" fillId="0" borderId="10" xfId="42" applyNumberFormat="1" applyFont="1" applyBorder="1" applyAlignment="1">
      <alignment vertical="center"/>
    </xf>
    <xf numFmtId="165" fontId="36" fillId="52" borderId="10" xfId="42" applyNumberFormat="1" applyFont="1" applyFill="1" applyBorder="1" applyAlignment="1">
      <alignment vertical="center"/>
    </xf>
    <xf numFmtId="165" fontId="40" fillId="0" borderId="10" xfId="42" applyNumberFormat="1" applyFont="1" applyBorder="1" applyAlignment="1">
      <alignment vertical="center" wrapText="1"/>
    </xf>
    <xf numFmtId="165" fontId="43" fillId="0" borderId="10" xfId="42" applyNumberFormat="1" applyFont="1" applyBorder="1" applyAlignment="1">
      <alignment vertical="center"/>
    </xf>
    <xf numFmtId="165" fontId="36" fillId="0" borderId="10" xfId="42" applyNumberFormat="1" applyFont="1" applyBorder="1" applyAlignment="1">
      <alignment vertical="center" wrapText="1"/>
    </xf>
    <xf numFmtId="165" fontId="36" fillId="0" borderId="10" xfId="42" applyNumberFormat="1" applyFont="1" applyFill="1" applyBorder="1" applyAlignment="1">
      <alignment vertical="center" wrapText="1"/>
    </xf>
    <xf numFmtId="165" fontId="43" fillId="39" borderId="10" xfId="42" applyNumberFormat="1" applyFont="1" applyFill="1" applyBorder="1" applyAlignment="1">
      <alignment vertical="center"/>
    </xf>
    <xf numFmtId="165" fontId="0" fillId="0" borderId="0" xfId="0" applyNumberFormat="1" applyBorder="1"/>
    <xf numFmtId="168" fontId="41" fillId="39" borderId="0" xfId="48" applyNumberFormat="1" applyFont="1" applyFill="1" applyBorder="1" applyAlignment="1">
      <alignment vertical="center" wrapText="1"/>
    </xf>
    <xf numFmtId="0" fontId="23" fillId="39" borderId="0" xfId="0" applyFont="1" applyFill="1"/>
    <xf numFmtId="165" fontId="23" fillId="39" borderId="0" xfId="0" applyNumberFormat="1" applyFont="1" applyFill="1" applyBorder="1"/>
    <xf numFmtId="0" fontId="23" fillId="39" borderId="0" xfId="0" applyFont="1" applyFill="1" applyBorder="1"/>
    <xf numFmtId="165" fontId="39" fillId="39" borderId="0" xfId="0" applyNumberFormat="1" applyFont="1" applyFill="1" applyBorder="1"/>
    <xf numFmtId="165" fontId="36" fillId="36" borderId="16" xfId="42" applyNumberFormat="1" applyFont="1" applyFill="1" applyBorder="1" applyAlignment="1">
      <alignment vertical="center"/>
    </xf>
    <xf numFmtId="165" fontId="36" fillId="0" borderId="14" xfId="42" applyNumberFormat="1" applyFont="1" applyFill="1" applyBorder="1" applyAlignment="1">
      <alignment vertical="center"/>
    </xf>
    <xf numFmtId="165" fontId="36" fillId="0" borderId="14" xfId="42" applyNumberFormat="1" applyFont="1" applyBorder="1" applyAlignment="1">
      <alignment vertical="center"/>
    </xf>
    <xf numFmtId="165" fontId="36" fillId="52" borderId="14" xfId="42" applyNumberFormat="1" applyFont="1" applyFill="1" applyBorder="1" applyAlignment="1">
      <alignment vertical="center"/>
    </xf>
    <xf numFmtId="165" fontId="40" fillId="0" borderId="14" xfId="42" applyNumberFormat="1" applyFont="1" applyBorder="1" applyAlignment="1">
      <alignment vertical="center" wrapText="1"/>
    </xf>
    <xf numFmtId="165" fontId="40" fillId="0" borderId="14" xfId="42" applyNumberFormat="1" applyFont="1" applyBorder="1" applyAlignment="1">
      <alignment vertical="center"/>
    </xf>
    <xf numFmtId="10" fontId="0" fillId="33" borderId="0" xfId="50" applyNumberFormat="1" applyFont="1" applyFill="1"/>
    <xf numFmtId="0" fontId="26" fillId="33" borderId="10" xfId="0" applyFont="1" applyFill="1" applyBorder="1" applyAlignment="1">
      <alignment horizontal="center" vertical="center" wrapText="1"/>
    </xf>
    <xf numFmtId="0" fontId="26" fillId="0" borderId="0" xfId="0" applyFont="1"/>
    <xf numFmtId="3" fontId="28" fillId="0" borderId="10" xfId="0" applyNumberFormat="1" applyFont="1" applyBorder="1"/>
    <xf numFmtId="0" fontId="26" fillId="0" borderId="94" xfId="0" applyFont="1" applyBorder="1"/>
    <xf numFmtId="10" fontId="0" fillId="0" borderId="0" xfId="50" applyNumberFormat="1" applyFont="1"/>
    <xf numFmtId="0" fontId="26" fillId="0" borderId="0" xfId="0" applyFont="1" applyFill="1"/>
    <xf numFmtId="3" fontId="0" fillId="0" borderId="10" xfId="0" applyNumberFormat="1" applyFill="1" applyBorder="1"/>
    <xf numFmtId="3" fontId="0" fillId="0" borderId="10" xfId="0" applyNumberFormat="1" applyFill="1" applyBorder="1" applyAlignment="1">
      <alignment vertical="center" wrapText="1"/>
    </xf>
    <xf numFmtId="0" fontId="0" fillId="35" borderId="0" xfId="0" applyFill="1"/>
    <xf numFmtId="0" fontId="0" fillId="0" borderId="0" xfId="0" applyAlignment="1">
      <alignment horizontal="center"/>
    </xf>
    <xf numFmtId="165" fontId="0" fillId="35" borderId="0" xfId="42" applyNumberFormat="1" applyFont="1" applyFill="1"/>
    <xf numFmtId="165" fontId="0" fillId="0" borderId="0" xfId="42" applyNumberFormat="1" applyFont="1" applyFill="1" applyBorder="1"/>
    <xf numFmtId="10" fontId="0" fillId="40" borderId="0" xfId="50" applyNumberFormat="1" applyFont="1" applyFill="1"/>
    <xf numFmtId="165" fontId="0" fillId="0" borderId="22" xfId="42" applyNumberFormat="1" applyFont="1" applyBorder="1"/>
    <xf numFmtId="3" fontId="0" fillId="0" borderId="23" xfId="0" applyNumberFormat="1" applyFill="1" applyBorder="1"/>
    <xf numFmtId="165" fontId="0" fillId="0" borderId="44" xfId="42" applyNumberFormat="1" applyFont="1" applyFill="1" applyBorder="1"/>
    <xf numFmtId="165" fontId="0" fillId="0" borderId="62" xfId="42" applyNumberFormat="1" applyFont="1" applyBorder="1"/>
    <xf numFmtId="165" fontId="0" fillId="0" borderId="63" xfId="42" applyNumberFormat="1" applyFont="1" applyFill="1" applyBorder="1"/>
    <xf numFmtId="0" fontId="0" fillId="0" borderId="62" xfId="0" applyBorder="1"/>
    <xf numFmtId="165" fontId="0" fillId="0" borderId="0" xfId="42" applyNumberFormat="1" applyFont="1" applyBorder="1"/>
    <xf numFmtId="165" fontId="0" fillId="0" borderId="63" xfId="42" applyNumberFormat="1" applyFont="1" applyBorder="1"/>
    <xf numFmtId="0" fontId="0" fillId="0" borderId="60" xfId="0" applyBorder="1"/>
    <xf numFmtId="165" fontId="0" fillId="0" borderId="78" xfId="42" applyNumberFormat="1" applyFont="1" applyBorder="1"/>
    <xf numFmtId="165" fontId="0" fillId="0" borderId="73" xfId="42" applyNumberFormat="1" applyFont="1" applyBorder="1"/>
    <xf numFmtId="0" fontId="31" fillId="35" borderId="0" xfId="0" applyFont="1" applyFill="1" applyAlignment="1">
      <alignment horizontal="center" vertical="center" wrapText="1"/>
    </xf>
    <xf numFmtId="0" fontId="31" fillId="39" borderId="0" xfId="0" applyFont="1" applyFill="1" applyAlignment="1">
      <alignment horizontal="center" vertical="center" wrapText="1"/>
    </xf>
    <xf numFmtId="3" fontId="31" fillId="35" borderId="0" xfId="0" applyNumberFormat="1" applyFont="1" applyFill="1" applyAlignment="1">
      <alignment horizontal="center" vertical="center" wrapText="1"/>
    </xf>
    <xf numFmtId="165" fontId="33" fillId="0" borderId="0" xfId="42" applyNumberFormat="1" applyFont="1"/>
    <xf numFmtId="165" fontId="3" fillId="0" borderId="0" xfId="53" applyNumberFormat="1" applyFont="1" applyFill="1" applyBorder="1"/>
    <xf numFmtId="165" fontId="3" fillId="0" borderId="0" xfId="53" applyNumberFormat="1" applyFont="1" applyFill="1" applyBorder="1" applyAlignment="1">
      <alignment horizontal="left" vertical="center"/>
    </xf>
    <xf numFmtId="164" fontId="3" fillId="0" borderId="0" xfId="53" applyFont="1" applyFill="1" applyBorder="1"/>
    <xf numFmtId="164" fontId="3" fillId="0" borderId="0" xfId="53" applyFont="1" applyFill="1" applyBorder="1" applyAlignment="1">
      <alignment horizontal="left" vertical="center"/>
    </xf>
    <xf numFmtId="164" fontId="75" fillId="46" borderId="0" xfId="53" applyFont="1" applyFill="1" applyBorder="1"/>
    <xf numFmtId="165" fontId="3" fillId="62" borderId="0" xfId="53" applyNumberFormat="1" applyFont="1" applyFill="1" applyBorder="1"/>
    <xf numFmtId="0" fontId="25" fillId="38" borderId="10" xfId="0" applyFont="1" applyFill="1" applyBorder="1" applyAlignment="1">
      <alignment horizontal="center" vertical="center"/>
    </xf>
    <xf numFmtId="0" fontId="25" fillId="38" borderId="13" xfId="0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169" fontId="0" fillId="0" borderId="13" xfId="0" applyNumberFormat="1" applyBorder="1"/>
    <xf numFmtId="0" fontId="26" fillId="0" borderId="0" xfId="0" applyFont="1" applyBorder="1" applyAlignment="1">
      <alignment horizontal="center" vertical="center"/>
    </xf>
    <xf numFmtId="169" fontId="0" fillId="0" borderId="0" xfId="0" applyNumberFormat="1" applyBorder="1"/>
    <xf numFmtId="0" fontId="26" fillId="0" borderId="10" xfId="0" applyFont="1" applyBorder="1" applyAlignment="1">
      <alignment horizontal="center"/>
    </xf>
    <xf numFmtId="0" fontId="0" fillId="0" borderId="15" xfId="0" applyFill="1" applyBorder="1"/>
    <xf numFmtId="0" fontId="26" fillId="0" borderId="0" xfId="0" applyFont="1" applyFill="1" applyBorder="1"/>
    <xf numFmtId="173" fontId="0" fillId="0" borderId="10" xfId="0" applyNumberFormat="1" applyBorder="1"/>
    <xf numFmtId="173" fontId="26" fillId="0" borderId="10" xfId="0" applyNumberFormat="1" applyFont="1" applyBorder="1"/>
    <xf numFmtId="0" fontId="26" fillId="0" borderId="0" xfId="0" applyFont="1" applyAlignment="1">
      <alignment wrapText="1"/>
    </xf>
    <xf numFmtId="169" fontId="26" fillId="0" borderId="0" xfId="0" applyNumberFormat="1" applyFont="1"/>
    <xf numFmtId="0" fontId="3" fillId="0" borderId="0" xfId="62"/>
    <xf numFmtId="0" fontId="3" fillId="35" borderId="27" xfId="62" applyFill="1" applyBorder="1"/>
    <xf numFmtId="0" fontId="3" fillId="35" borderId="28" xfId="62" applyFill="1" applyBorder="1"/>
    <xf numFmtId="0" fontId="3" fillId="35" borderId="29" xfId="62" applyFill="1" applyBorder="1"/>
    <xf numFmtId="3" fontId="27" fillId="0" borderId="0" xfId="62" applyNumberFormat="1" applyFont="1"/>
    <xf numFmtId="3" fontId="3" fillId="0" borderId="0" xfId="62" applyNumberFormat="1"/>
    <xf numFmtId="3" fontId="0" fillId="0" borderId="15" xfId="50" applyNumberFormat="1" applyFont="1" applyFill="1" applyBorder="1"/>
    <xf numFmtId="0" fontId="26" fillId="38" borderId="13" xfId="0" applyFont="1" applyFill="1" applyBorder="1" applyAlignment="1">
      <alignment horizontal="center" vertical="center" wrapText="1"/>
    </xf>
    <xf numFmtId="0" fontId="26" fillId="0" borderId="95" xfId="0" applyFont="1" applyFill="1" applyBorder="1" applyAlignment="1">
      <alignment horizontal="center" vertical="center" wrapText="1"/>
    </xf>
    <xf numFmtId="3" fontId="0" fillId="0" borderId="95" xfId="50" applyNumberFormat="1" applyFont="1" applyFill="1" applyBorder="1" applyAlignment="1">
      <alignment horizontal="center" vertical="center"/>
    </xf>
    <xf numFmtId="3" fontId="0" fillId="0" borderId="0" xfId="50" applyNumberFormat="1" applyFont="1" applyFill="1" applyBorder="1" applyAlignment="1">
      <alignment horizontal="center" vertical="center"/>
    </xf>
    <xf numFmtId="3" fontId="0" fillId="0" borderId="0" xfId="0" applyNumberFormat="1" applyFont="1" applyFill="1" applyBorder="1" applyAlignment="1">
      <alignment horizontal="center"/>
    </xf>
    <xf numFmtId="3" fontId="0" fillId="0" borderId="0" xfId="50" applyNumberFormat="1" applyFont="1" applyFill="1" applyBorder="1"/>
    <xf numFmtId="0" fontId="26" fillId="0" borderId="0" xfId="0" applyFont="1" applyFill="1" applyBorder="1" applyAlignment="1">
      <alignment vertical="center"/>
    </xf>
    <xf numFmtId="3" fontId="26" fillId="0" borderId="0" xfId="50" applyNumberFormat="1" applyFont="1" applyFill="1" applyBorder="1"/>
    <xf numFmtId="165" fontId="29" fillId="0" borderId="0" xfId="42" applyNumberFormat="1" applyFont="1"/>
    <xf numFmtId="3" fontId="29" fillId="0" borderId="0" xfId="0" applyNumberFormat="1" applyFont="1"/>
    <xf numFmtId="165" fontId="29" fillId="0" borderId="0" xfId="0" applyNumberFormat="1" applyFont="1"/>
    <xf numFmtId="0" fontId="87" fillId="0" borderId="51" xfId="0" applyFont="1" applyBorder="1" applyAlignment="1">
      <alignment horizontal="center" vertical="center" wrapText="1"/>
    </xf>
    <xf numFmtId="0" fontId="87" fillId="0" borderId="22" xfId="0" applyFont="1" applyBorder="1" applyAlignment="1">
      <alignment horizontal="center" vertical="center" wrapText="1"/>
    </xf>
    <xf numFmtId="0" fontId="87" fillId="0" borderId="52" xfId="0" applyFont="1" applyBorder="1" applyAlignment="1">
      <alignment horizontal="center" vertical="center"/>
    </xf>
    <xf numFmtId="0" fontId="87" fillId="0" borderId="52" xfId="0" applyFont="1" applyBorder="1" applyAlignment="1">
      <alignment horizontal="center" vertical="center" wrapText="1"/>
    </xf>
    <xf numFmtId="0" fontId="87" fillId="0" borderId="53" xfId="0" applyFont="1" applyBorder="1" applyAlignment="1">
      <alignment horizontal="center" vertical="center" wrapText="1"/>
    </xf>
    <xf numFmtId="0" fontId="87" fillId="0" borderId="24" xfId="0" applyFont="1" applyBorder="1" applyAlignment="1">
      <alignment horizontal="center" vertical="center" wrapText="1"/>
    </xf>
    <xf numFmtId="0" fontId="87" fillId="0" borderId="25" xfId="0" applyFont="1" applyFill="1" applyBorder="1" applyAlignment="1">
      <alignment horizontal="center" vertical="center" wrapText="1"/>
    </xf>
    <xf numFmtId="0" fontId="87" fillId="0" borderId="36" xfId="0" applyFont="1" applyBorder="1" applyAlignment="1">
      <alignment horizontal="center" vertical="center" wrapText="1"/>
    </xf>
    <xf numFmtId="0" fontId="87" fillId="0" borderId="52" xfId="0" applyFont="1" applyFill="1" applyBorder="1" applyAlignment="1">
      <alignment horizontal="center" vertical="center" wrapText="1"/>
    </xf>
    <xf numFmtId="0" fontId="87" fillId="51" borderId="52" xfId="0" applyFont="1" applyFill="1" applyBorder="1" applyAlignment="1">
      <alignment horizontal="center" vertical="center" wrapText="1"/>
    </xf>
    <xf numFmtId="0" fontId="55" fillId="38" borderId="78" xfId="0" applyFont="1" applyFill="1" applyBorder="1" applyAlignment="1">
      <alignment vertical="center" wrapText="1"/>
    </xf>
    <xf numFmtId="0" fontId="55" fillId="38" borderId="60" xfId="0" applyFont="1" applyFill="1" applyBorder="1" applyAlignment="1">
      <alignment vertical="center" wrapText="1"/>
    </xf>
    <xf numFmtId="0" fontId="55" fillId="38" borderId="73" xfId="0" applyFont="1" applyFill="1" applyBorder="1" applyAlignment="1">
      <alignment vertical="center" wrapText="1"/>
    </xf>
    <xf numFmtId="0" fontId="50" fillId="0" borderId="37" xfId="0" applyFont="1" applyBorder="1" applyAlignment="1">
      <alignment horizontal="center" vertical="center" wrapText="1"/>
    </xf>
    <xf numFmtId="0" fontId="50" fillId="0" borderId="96" xfId="0" applyFont="1" applyBorder="1" applyAlignment="1">
      <alignment horizontal="center" vertical="center" wrapText="1"/>
    </xf>
    <xf numFmtId="0" fontId="50" fillId="0" borderId="15" xfId="0" applyFont="1" applyBorder="1" applyAlignment="1">
      <alignment horizontal="center" vertical="center" wrapText="1"/>
    </xf>
    <xf numFmtId="0" fontId="50" fillId="0" borderId="95" xfId="0" applyFont="1" applyBorder="1" applyAlignment="1">
      <alignment horizontal="center" vertical="center" wrapText="1"/>
    </xf>
    <xf numFmtId="0" fontId="50" fillId="0" borderId="18" xfId="0" applyFont="1" applyBorder="1" applyAlignment="1">
      <alignment horizontal="center" vertical="center" wrapText="1"/>
    </xf>
    <xf numFmtId="0" fontId="50" fillId="0" borderId="63" xfId="0" applyFont="1" applyBorder="1" applyAlignment="1">
      <alignment horizontal="center" vertical="center"/>
    </xf>
    <xf numFmtId="0" fontId="50" fillId="0" borderId="90" xfId="0" applyFont="1" applyBorder="1" applyAlignment="1">
      <alignment vertical="center"/>
    </xf>
    <xf numFmtId="3" fontId="53" fillId="0" borderId="28" xfId="0" applyNumberFormat="1" applyFont="1" applyFill="1" applyBorder="1" applyAlignment="1">
      <alignment vertical="center"/>
    </xf>
    <xf numFmtId="0" fontId="50" fillId="0" borderId="19" xfId="0" applyFont="1" applyFill="1" applyBorder="1" applyAlignment="1">
      <alignment vertical="center"/>
    </xf>
    <xf numFmtId="3" fontId="53" fillId="0" borderId="10" xfId="0" applyNumberFormat="1" applyFont="1" applyFill="1" applyBorder="1" applyAlignment="1">
      <alignment vertical="center"/>
    </xf>
    <xf numFmtId="0" fontId="50" fillId="0" borderId="19" xfId="0" applyFont="1" applyBorder="1" applyAlignment="1">
      <alignment vertical="center"/>
    </xf>
    <xf numFmtId="0" fontId="50" fillId="0" borderId="84" xfId="0" applyFont="1" applyBorder="1" applyAlignment="1">
      <alignment vertical="center"/>
    </xf>
    <xf numFmtId="3" fontId="53" fillId="0" borderId="32" xfId="0" applyNumberFormat="1" applyFont="1" applyFill="1" applyBorder="1" applyAlignment="1">
      <alignment vertical="center"/>
    </xf>
    <xf numFmtId="9" fontId="53" fillId="0" borderId="33" xfId="50" applyFont="1" applyFill="1" applyBorder="1" applyAlignment="1">
      <alignment vertical="center"/>
    </xf>
    <xf numFmtId="3" fontId="32" fillId="0" borderId="33" xfId="0" applyNumberFormat="1" applyFont="1" applyFill="1" applyBorder="1" applyAlignment="1">
      <alignment vertical="center"/>
    </xf>
    <xf numFmtId="3" fontId="32" fillId="0" borderId="34" xfId="0" applyNumberFormat="1" applyFont="1" applyFill="1" applyBorder="1" applyAlignment="1">
      <alignment vertical="center"/>
    </xf>
    <xf numFmtId="3" fontId="53" fillId="0" borderId="48" xfId="0" applyNumberFormat="1" applyFont="1" applyFill="1" applyBorder="1" applyAlignment="1">
      <alignment vertical="center"/>
    </xf>
    <xf numFmtId="9" fontId="32" fillId="0" borderId="33" xfId="50" applyFont="1" applyBorder="1" applyAlignment="1">
      <alignment vertical="center"/>
    </xf>
    <xf numFmtId="9" fontId="53" fillId="0" borderId="11" xfId="50" applyFont="1" applyFill="1" applyBorder="1" applyAlignment="1">
      <alignment vertical="center"/>
    </xf>
    <xf numFmtId="0" fontId="50" fillId="0" borderId="72" xfId="0" applyFont="1" applyBorder="1" applyAlignment="1">
      <alignment vertical="center"/>
    </xf>
    <xf numFmtId="165" fontId="50" fillId="0" borderId="51" xfId="42" applyNumberFormat="1" applyFont="1" applyBorder="1" applyAlignment="1">
      <alignment horizontal="center" vertical="center" wrapText="1"/>
    </xf>
    <xf numFmtId="9" fontId="50" fillId="0" borderId="52" xfId="50" applyFont="1" applyBorder="1" applyAlignment="1">
      <alignment horizontal="right" vertical="center"/>
    </xf>
    <xf numFmtId="165" fontId="50" fillId="0" borderId="52" xfId="42" applyNumberFormat="1" applyFont="1" applyBorder="1" applyAlignment="1">
      <alignment horizontal="center" vertical="center" wrapText="1"/>
    </xf>
    <xf numFmtId="165" fontId="50" fillId="0" borderId="53" xfId="42" applyNumberFormat="1" applyFont="1" applyBorder="1" applyAlignment="1">
      <alignment horizontal="center" vertical="center" wrapText="1"/>
    </xf>
    <xf numFmtId="3" fontId="50" fillId="0" borderId="39" xfId="0" applyNumberFormat="1" applyFont="1" applyFill="1" applyBorder="1" applyAlignment="1">
      <alignment vertical="center"/>
    </xf>
    <xf numFmtId="9" fontId="53" fillId="0" borderId="38" xfId="50" applyFont="1" applyFill="1" applyBorder="1" applyAlignment="1">
      <alignment vertical="center"/>
    </xf>
    <xf numFmtId="9" fontId="50" fillId="0" borderId="38" xfId="50" applyFont="1" applyBorder="1" applyAlignment="1">
      <alignment vertical="center"/>
    </xf>
    <xf numFmtId="3" fontId="50" fillId="0" borderId="51" xfId="50" applyNumberFormat="1" applyFont="1" applyBorder="1" applyAlignment="1">
      <alignment vertical="center"/>
    </xf>
    <xf numFmtId="9" fontId="53" fillId="0" borderId="52" xfId="50" applyFont="1" applyFill="1" applyBorder="1" applyAlignment="1">
      <alignment vertical="center"/>
    </xf>
    <xf numFmtId="3" fontId="50" fillId="0" borderId="52" xfId="0" applyNumberFormat="1" applyFont="1" applyFill="1" applyBorder="1" applyAlignment="1">
      <alignment vertical="center"/>
    </xf>
    <xf numFmtId="3" fontId="32" fillId="0" borderId="52" xfId="0" applyNumberFormat="1" applyFont="1" applyBorder="1" applyAlignment="1">
      <alignment vertical="center"/>
    </xf>
    <xf numFmtId="0" fontId="55" fillId="38" borderId="23" xfId="0" applyFont="1" applyFill="1" applyBorder="1" applyAlignment="1">
      <alignment vertical="center" wrapText="1"/>
    </xf>
    <xf numFmtId="0" fontId="87" fillId="0" borderId="40" xfId="0" applyFont="1" applyBorder="1" applyAlignment="1">
      <alignment horizontal="center" vertical="center" wrapText="1"/>
    </xf>
    <xf numFmtId="0" fontId="87" fillId="0" borderId="54" xfId="0" applyFont="1" applyBorder="1" applyAlignment="1">
      <alignment horizontal="center" vertical="center" wrapText="1"/>
    </xf>
    <xf numFmtId="0" fontId="87" fillId="0" borderId="54" xfId="0" applyFont="1" applyFill="1" applyBorder="1" applyAlignment="1">
      <alignment horizontal="center" vertical="center" wrapText="1"/>
    </xf>
    <xf numFmtId="0" fontId="50" fillId="0" borderId="44" xfId="0" applyFont="1" applyBorder="1" applyAlignment="1">
      <alignment horizontal="center" vertical="center"/>
    </xf>
    <xf numFmtId="3" fontId="54" fillId="53" borderId="33" xfId="0" applyNumberFormat="1" applyFont="1" applyFill="1" applyBorder="1" applyAlignment="1">
      <alignment vertical="center"/>
    </xf>
    <xf numFmtId="165" fontId="50" fillId="0" borderId="51" xfId="42" applyNumberFormat="1" applyFont="1" applyBorder="1" applyAlignment="1">
      <alignment horizontal="right" vertical="center" wrapText="1"/>
    </xf>
    <xf numFmtId="165" fontId="50" fillId="0" borderId="52" xfId="42" applyNumberFormat="1" applyFont="1" applyBorder="1" applyAlignment="1">
      <alignment horizontal="right" vertical="center" wrapText="1"/>
    </xf>
    <xf numFmtId="9" fontId="32" fillId="0" borderId="52" xfId="50" applyFont="1" applyBorder="1" applyAlignment="1">
      <alignment horizontal="right" vertical="center"/>
    </xf>
    <xf numFmtId="165" fontId="50" fillId="0" borderId="53" xfId="42" applyNumberFormat="1" applyFont="1" applyBorder="1" applyAlignment="1">
      <alignment horizontal="right" vertical="center" wrapText="1"/>
    </xf>
    <xf numFmtId="3" fontId="50" fillId="0" borderId="37" xfId="50" applyNumberFormat="1" applyFont="1" applyBorder="1" applyAlignment="1">
      <alignment vertical="center"/>
    </xf>
    <xf numFmtId="3" fontId="50" fillId="0" borderId="38" xfId="0" applyNumberFormat="1" applyFont="1" applyFill="1" applyBorder="1" applyAlignment="1">
      <alignment vertical="center"/>
    </xf>
    <xf numFmtId="3" fontId="32" fillId="0" borderId="38" xfId="0" applyNumberFormat="1" applyFont="1" applyBorder="1" applyAlignment="1">
      <alignment vertical="center"/>
    </xf>
    <xf numFmtId="3" fontId="50" fillId="0" borderId="38" xfId="0" applyNumberFormat="1" applyFont="1" applyBorder="1" applyAlignment="1">
      <alignment vertical="center"/>
    </xf>
    <xf numFmtId="9" fontId="32" fillId="0" borderId="38" xfId="50" applyFont="1" applyBorder="1" applyAlignment="1">
      <alignment vertical="center"/>
    </xf>
    <xf numFmtId="0" fontId="53" fillId="0" borderId="0" xfId="0" applyFont="1" applyBorder="1" applyAlignment="1">
      <alignment vertical="center"/>
    </xf>
    <xf numFmtId="0" fontId="88" fillId="0" borderId="0" xfId="0" applyFont="1" applyBorder="1" applyAlignment="1">
      <alignment vertical="center"/>
    </xf>
    <xf numFmtId="0" fontId="33" fillId="0" borderId="0" xfId="0" applyFont="1" applyAlignment="1">
      <alignment horizontal="left" wrapText="1"/>
    </xf>
    <xf numFmtId="0" fontId="60" fillId="48" borderId="10" xfId="0" applyFont="1" applyFill="1" applyBorder="1" applyAlignment="1">
      <alignment vertical="center"/>
    </xf>
    <xf numFmtId="0" fontId="60" fillId="48" borderId="10" xfId="0" applyFont="1" applyFill="1" applyBorder="1" applyAlignment="1">
      <alignment horizontal="center" vertical="center" wrapText="1"/>
    </xf>
    <xf numFmtId="1" fontId="31" fillId="0" borderId="10" xfId="0" applyNumberFormat="1" applyFont="1" applyBorder="1" applyAlignment="1">
      <alignment horizontal="center" vertical="center" wrapText="1"/>
    </xf>
    <xf numFmtId="0" fontId="33" fillId="41" borderId="10" xfId="0" applyFont="1" applyFill="1" applyBorder="1" applyAlignment="1">
      <alignment horizontal="center" vertical="center" wrapText="1"/>
    </xf>
    <xf numFmtId="0" fontId="33" fillId="48" borderId="10" xfId="0" applyFont="1" applyFill="1" applyBorder="1" applyAlignment="1">
      <alignment horizontal="center" vertical="center" wrapText="1"/>
    </xf>
    <xf numFmtId="0" fontId="31" fillId="33" borderId="10" xfId="0" applyFont="1" applyFill="1" applyBorder="1" applyAlignment="1">
      <alignment horizontal="center" vertical="center" wrapText="1"/>
    </xf>
    <xf numFmtId="0" fontId="31" fillId="55" borderId="10" xfId="0" applyFont="1" applyFill="1" applyBorder="1" applyAlignment="1">
      <alignment horizontal="center" vertical="center" wrapText="1"/>
    </xf>
    <xf numFmtId="2" fontId="0" fillId="0" borderId="10" xfId="0" applyNumberFormat="1" applyBorder="1"/>
    <xf numFmtId="3" fontId="31" fillId="51" borderId="10" xfId="0" applyNumberFormat="1" applyFont="1" applyFill="1" applyBorder="1" applyAlignment="1">
      <alignment horizontal="center"/>
    </xf>
    <xf numFmtId="0" fontId="33" fillId="39" borderId="0" xfId="0" applyFont="1" applyFill="1"/>
    <xf numFmtId="0" fontId="33" fillId="0" borderId="0" xfId="63" applyFont="1"/>
    <xf numFmtId="165" fontId="33" fillId="0" borderId="0" xfId="64" applyNumberFormat="1" applyFont="1"/>
    <xf numFmtId="0" fontId="31" fillId="0" borderId="0" xfId="63" applyFont="1"/>
    <xf numFmtId="165" fontId="33" fillId="0" borderId="0" xfId="64" applyNumberFormat="1" applyFont="1" applyAlignment="1">
      <alignment horizontal="right"/>
    </xf>
    <xf numFmtId="9" fontId="90" fillId="71" borderId="10" xfId="49" applyNumberFormat="1" applyFont="1" applyFill="1" applyBorder="1" applyAlignment="1">
      <alignment horizontal="center" vertical="center" wrapText="1"/>
    </xf>
    <xf numFmtId="0" fontId="33" fillId="0" borderId="10" xfId="63" applyFont="1" applyBorder="1" applyAlignment="1">
      <alignment vertical="center"/>
    </xf>
    <xf numFmtId="3" fontId="33" fillId="0" borderId="10" xfId="64" applyNumberFormat="1" applyFont="1" applyBorder="1" applyAlignment="1">
      <alignment vertical="center"/>
    </xf>
    <xf numFmtId="3" fontId="33" fillId="0" borderId="10" xfId="63" applyNumberFormat="1" applyFont="1" applyBorder="1" applyAlignment="1">
      <alignment vertical="center"/>
    </xf>
    <xf numFmtId="3" fontId="91" fillId="0" borderId="10" xfId="63" applyNumberFormat="1" applyFont="1" applyFill="1" applyBorder="1" applyAlignment="1">
      <alignment vertical="center"/>
    </xf>
    <xf numFmtId="165" fontId="33" fillId="0" borderId="0" xfId="64" applyNumberFormat="1" applyFont="1" applyAlignment="1">
      <alignment vertical="center"/>
    </xf>
    <xf numFmtId="0" fontId="90" fillId="71" borderId="95" xfId="49" applyNumberFormat="1" applyFont="1" applyFill="1" applyBorder="1" applyAlignment="1">
      <alignment horizontal="center" vertical="center" wrapText="1"/>
    </xf>
    <xf numFmtId="3" fontId="90" fillId="71" borderId="95" xfId="49" applyNumberFormat="1" applyFont="1" applyFill="1" applyBorder="1" applyAlignment="1">
      <alignment horizontal="right" vertical="center" wrapText="1"/>
    </xf>
    <xf numFmtId="165" fontId="31" fillId="0" borderId="0" xfId="64" applyNumberFormat="1" applyFont="1" applyFill="1" applyBorder="1" applyAlignment="1">
      <alignment vertical="center"/>
    </xf>
    <xf numFmtId="165" fontId="33" fillId="0" borderId="0" xfId="64" applyNumberFormat="1" applyFont="1" applyFill="1" applyBorder="1" applyAlignment="1">
      <alignment vertical="center"/>
    </xf>
    <xf numFmtId="165" fontId="33" fillId="0" borderId="0" xfId="64" applyNumberFormat="1" applyFont="1" applyBorder="1"/>
    <xf numFmtId="165" fontId="92" fillId="0" borderId="0" xfId="64" applyNumberFormat="1" applyFont="1" applyBorder="1" applyAlignment="1">
      <alignment vertical="top"/>
    </xf>
    <xf numFmtId="165" fontId="33" fillId="0" borderId="0" xfId="64" applyNumberFormat="1" applyFont="1" applyBorder="1" applyAlignment="1">
      <alignment vertical="top"/>
    </xf>
    <xf numFmtId="165" fontId="46" fillId="0" borderId="0" xfId="64" applyNumberFormat="1" applyFont="1" applyBorder="1" applyAlignment="1">
      <alignment vertical="top"/>
    </xf>
    <xf numFmtId="0" fontId="2" fillId="0" borderId="0" xfId="63" applyAlignment="1">
      <alignment vertical="top"/>
    </xf>
    <xf numFmtId="0" fontId="28" fillId="0" borderId="11" xfId="0" applyFont="1" applyBorder="1" applyAlignment="1">
      <alignment vertical="center"/>
    </xf>
    <xf numFmtId="0" fontId="0" fillId="0" borderId="10" xfId="0" applyBorder="1" applyAlignment="1">
      <alignment vertical="center"/>
    </xf>
    <xf numFmtId="0" fontId="28" fillId="0" borderId="11" xfId="0" applyFont="1" applyFill="1" applyBorder="1" applyAlignment="1">
      <alignment vertical="center"/>
    </xf>
    <xf numFmtId="0" fontId="25" fillId="33" borderId="10" xfId="0" applyFont="1" applyFill="1" applyBorder="1" applyAlignment="1">
      <alignment horizontal="center" vertical="center" wrapText="1"/>
    </xf>
    <xf numFmtId="165" fontId="25" fillId="38" borderId="10" xfId="0" applyNumberFormat="1" applyFont="1" applyFill="1" applyBorder="1" applyAlignment="1">
      <alignment vertical="center"/>
    </xf>
    <xf numFmtId="0" fontId="25" fillId="0" borderId="0" xfId="0" applyFont="1" applyFill="1" applyBorder="1" applyAlignment="1">
      <alignment horizontal="center" vertical="center" wrapText="1"/>
    </xf>
    <xf numFmtId="165" fontId="28" fillId="0" borderId="10" xfId="42" applyNumberFormat="1" applyFont="1" applyBorder="1" applyAlignment="1">
      <alignment vertical="center"/>
    </xf>
    <xf numFmtId="0" fontId="25" fillId="33" borderId="11" xfId="0" applyFont="1" applyFill="1" applyBorder="1" applyAlignment="1">
      <alignment horizontal="center" vertical="center" wrapText="1"/>
    </xf>
    <xf numFmtId="0" fontId="25" fillId="40" borderId="11" xfId="0" applyFont="1" applyFill="1" applyBorder="1" applyAlignment="1">
      <alignment horizontal="center" vertical="center" wrapText="1"/>
    </xf>
    <xf numFmtId="0" fontId="25" fillId="40" borderId="10" xfId="0" applyFont="1" applyFill="1" applyBorder="1" applyAlignment="1">
      <alignment horizontal="center" vertical="center" wrapText="1"/>
    </xf>
    <xf numFmtId="0" fontId="25" fillId="40" borderId="15" xfId="0" applyFont="1" applyFill="1" applyBorder="1" applyAlignment="1">
      <alignment horizontal="center" vertical="center" wrapText="1"/>
    </xf>
    <xf numFmtId="165" fontId="93" fillId="0" borderId="0" xfId="42" applyNumberFormat="1" applyFont="1" applyFill="1" applyBorder="1" applyAlignment="1">
      <alignment vertical="center"/>
    </xf>
    <xf numFmtId="165" fontId="25" fillId="38" borderId="10" xfId="42" applyNumberFormat="1" applyFont="1" applyFill="1" applyBorder="1" applyAlignment="1">
      <alignment horizontal="center" vertical="center" wrapText="1"/>
    </xf>
    <xf numFmtId="165" fontId="93" fillId="38" borderId="10" xfId="42" applyNumberFormat="1" applyFont="1" applyFill="1" applyBorder="1" applyAlignment="1">
      <alignment vertical="center"/>
    </xf>
    <xf numFmtId="165" fontId="28" fillId="0" borderId="11" xfId="42" applyNumberFormat="1" applyFont="1" applyFill="1" applyBorder="1" applyAlignment="1">
      <alignment vertical="center"/>
    </xf>
    <xf numFmtId="165" fontId="28" fillId="0" borderId="10" xfId="42" applyNumberFormat="1" applyFont="1" applyFill="1" applyBorder="1" applyAlignment="1">
      <alignment vertical="center"/>
    </xf>
    <xf numFmtId="0" fontId="25" fillId="34" borderId="10" xfId="0" applyFont="1" applyFill="1" applyBorder="1" applyAlignment="1">
      <alignment horizontal="center" vertical="center" wrapText="1"/>
    </xf>
    <xf numFmtId="165" fontId="28" fillId="0" borderId="10" xfId="0" applyNumberFormat="1" applyFont="1" applyFill="1" applyBorder="1" applyAlignment="1">
      <alignment horizontal="center" vertical="center"/>
    </xf>
    <xf numFmtId="165" fontId="28" fillId="0" borderId="10" xfId="0" applyNumberFormat="1" applyFont="1" applyFill="1" applyBorder="1" applyAlignment="1">
      <alignment vertical="center"/>
    </xf>
    <xf numFmtId="165" fontId="25" fillId="0" borderId="10" xfId="0" applyNumberFormat="1" applyFont="1" applyBorder="1" applyAlignment="1">
      <alignment horizontal="center" vertical="center"/>
    </xf>
    <xf numFmtId="165" fontId="25" fillId="0" borderId="10" xfId="0" applyNumberFormat="1" applyFont="1" applyBorder="1" applyAlignment="1">
      <alignment vertical="center"/>
    </xf>
    <xf numFmtId="165" fontId="28" fillId="0" borderId="11" xfId="42" applyNumberFormat="1" applyFont="1" applyBorder="1" applyAlignment="1">
      <alignment vertical="center"/>
    </xf>
    <xf numFmtId="165" fontId="28" fillId="0" borderId="10" xfId="0" applyNumberFormat="1" applyFont="1" applyBorder="1" applyAlignment="1">
      <alignment horizontal="center" vertical="center"/>
    </xf>
    <xf numFmtId="165" fontId="28" fillId="0" borderId="10" xfId="0" applyNumberFormat="1" applyFont="1" applyBorder="1" applyAlignment="1">
      <alignment vertical="center"/>
    </xf>
    <xf numFmtId="0" fontId="25" fillId="35" borderId="10" xfId="0" applyFont="1" applyFill="1" applyBorder="1" applyAlignment="1">
      <alignment horizontal="center" vertical="center" wrapText="1"/>
    </xf>
    <xf numFmtId="165" fontId="94" fillId="0" borderId="11" xfId="42" applyNumberFormat="1" applyFont="1" applyFill="1" applyBorder="1" applyAlignment="1">
      <alignment vertical="center"/>
    </xf>
    <xf numFmtId="165" fontId="93" fillId="0" borderId="10" xfId="42" applyNumberFormat="1" applyFont="1" applyFill="1" applyBorder="1" applyAlignment="1">
      <alignment vertical="center"/>
    </xf>
    <xf numFmtId="165" fontId="94" fillId="0" borderId="10" xfId="42" applyNumberFormat="1" applyFont="1" applyFill="1" applyBorder="1" applyAlignment="1">
      <alignment vertical="center"/>
    </xf>
    <xf numFmtId="165" fontId="93" fillId="0" borderId="11" xfId="42" applyNumberFormat="1" applyFont="1" applyFill="1" applyBorder="1" applyAlignment="1">
      <alignment vertical="center"/>
    </xf>
    <xf numFmtId="0" fontId="25" fillId="35" borderId="11" xfId="0" applyFont="1" applyFill="1" applyBorder="1" applyAlignment="1">
      <alignment horizontal="center" vertical="center" wrapText="1"/>
    </xf>
    <xf numFmtId="0" fontId="25" fillId="38" borderId="15" xfId="0" applyFont="1" applyFill="1" applyBorder="1" applyAlignment="1">
      <alignment vertical="center" wrapText="1"/>
    </xf>
    <xf numFmtId="0" fontId="25" fillId="38" borderId="14" xfId="0" applyFont="1" applyFill="1" applyBorder="1" applyAlignment="1">
      <alignment vertical="center" wrapText="1"/>
    </xf>
    <xf numFmtId="0" fontId="25" fillId="33" borderId="11" xfId="0" applyFont="1" applyFill="1" applyBorder="1" applyAlignment="1">
      <alignment vertical="center" wrapText="1"/>
    </xf>
    <xf numFmtId="0" fontId="25" fillId="33" borderId="14" xfId="0" applyFont="1" applyFill="1" applyBorder="1" applyAlignment="1">
      <alignment vertical="center" wrapText="1"/>
    </xf>
    <xf numFmtId="165" fontId="25" fillId="38" borderId="10" xfId="42" applyNumberFormat="1" applyFont="1" applyFill="1" applyBorder="1" applyAlignment="1">
      <alignment vertical="center"/>
    </xf>
    <xf numFmtId="0" fontId="25" fillId="33" borderId="10" xfId="0" applyFont="1" applyFill="1" applyBorder="1" applyAlignment="1">
      <alignment horizontal="center" vertical="center"/>
    </xf>
    <xf numFmtId="0" fontId="95" fillId="0" borderId="0" xfId="0" applyFont="1"/>
    <xf numFmtId="0" fontId="95" fillId="0" borderId="0" xfId="0" applyFont="1" applyFill="1" applyAlignment="1">
      <alignment vertical="center"/>
    </xf>
    <xf numFmtId="0" fontId="95" fillId="0" borderId="10" xfId="0" applyFont="1" applyFill="1" applyBorder="1" applyAlignment="1">
      <alignment vertical="center" wrapText="1"/>
    </xf>
    <xf numFmtId="0" fontId="95" fillId="0" borderId="10" xfId="0" applyFont="1" applyBorder="1" applyAlignment="1">
      <alignment vertical="center"/>
    </xf>
    <xf numFmtId="0" fontId="25" fillId="38" borderId="10" xfId="0" applyFont="1" applyFill="1" applyBorder="1" applyAlignment="1">
      <alignment vertical="center" wrapText="1"/>
    </xf>
    <xf numFmtId="165" fontId="92" fillId="57" borderId="0" xfId="42" applyNumberFormat="1" applyFont="1" applyFill="1" applyAlignment="1">
      <alignment horizontal="center" vertical="center" wrapText="1"/>
    </xf>
    <xf numFmtId="0" fontId="96" fillId="0" borderId="0" xfId="0" applyFont="1"/>
    <xf numFmtId="165" fontId="96" fillId="0" borderId="0" xfId="43" applyNumberFormat="1" applyFont="1" applyFill="1" applyAlignment="1">
      <alignment vertical="center"/>
    </xf>
    <xf numFmtId="0" fontId="25" fillId="34" borderId="11" xfId="0" applyFont="1" applyFill="1" applyBorder="1" applyAlignment="1">
      <alignment horizontal="center" vertical="center" wrapText="1"/>
    </xf>
    <xf numFmtId="0" fontId="28" fillId="0" borderId="0" xfId="0" applyFont="1" applyFill="1" applyAlignment="1">
      <alignment vertical="center"/>
    </xf>
    <xf numFmtId="165" fontId="28" fillId="0" borderId="13" xfId="42" applyNumberFormat="1" applyFont="1" applyBorder="1" applyAlignment="1">
      <alignment vertical="center"/>
    </xf>
    <xf numFmtId="0" fontId="25" fillId="0" borderId="15" xfId="0" applyFont="1" applyFill="1" applyBorder="1" applyAlignment="1">
      <alignment vertical="center" wrapText="1"/>
    </xf>
    <xf numFmtId="0" fontId="25" fillId="38" borderId="15" xfId="0" applyFont="1" applyFill="1" applyBorder="1" applyAlignment="1">
      <alignment horizontal="center" vertical="center" wrapText="1"/>
    </xf>
    <xf numFmtId="165" fontId="25" fillId="38" borderId="10" xfId="0" applyNumberFormat="1" applyFont="1" applyFill="1" applyBorder="1" applyAlignment="1">
      <alignment horizontal="center" vertical="center"/>
    </xf>
    <xf numFmtId="0" fontId="25" fillId="36" borderId="11" xfId="0" applyFont="1" applyFill="1" applyBorder="1" applyAlignment="1">
      <alignment vertical="center" wrapText="1"/>
    </xf>
    <xf numFmtId="0" fontId="25" fillId="36" borderId="14" xfId="0" applyFont="1" applyFill="1" applyBorder="1" applyAlignment="1">
      <alignment vertical="center" wrapText="1"/>
    </xf>
    <xf numFmtId="0" fontId="25" fillId="38" borderId="11" xfId="0" applyFont="1" applyFill="1" applyBorder="1" applyAlignment="1">
      <alignment vertical="center" wrapText="1"/>
    </xf>
    <xf numFmtId="165" fontId="96" fillId="0" borderId="0" xfId="42" applyNumberFormat="1" applyFont="1"/>
    <xf numFmtId="165" fontId="55" fillId="0" borderId="0" xfId="42" applyNumberFormat="1" applyFont="1" applyAlignment="1">
      <alignment horizontal="center" vertical="center"/>
    </xf>
    <xf numFmtId="3" fontId="28" fillId="0" borderId="10" xfId="0" applyNumberFormat="1" applyFont="1" applyFill="1" applyBorder="1" applyAlignment="1">
      <alignment vertical="center"/>
    </xf>
    <xf numFmtId="3" fontId="0" fillId="0" borderId="10" xfId="0" applyNumberFormat="1" applyFill="1" applyBorder="1" applyAlignment="1">
      <alignment vertical="center"/>
    </xf>
    <xf numFmtId="3" fontId="26" fillId="34" borderId="10" xfId="0" applyNumberFormat="1" applyFont="1" applyFill="1" applyBorder="1" applyAlignment="1">
      <alignment vertical="center"/>
    </xf>
    <xf numFmtId="3" fontId="27" fillId="0" borderId="10" xfId="0" applyNumberFormat="1" applyFont="1" applyBorder="1" applyAlignment="1">
      <alignment vertical="center"/>
    </xf>
    <xf numFmtId="3" fontId="28" fillId="0" borderId="10" xfId="0" applyNumberFormat="1" applyFont="1" applyBorder="1" applyAlignment="1">
      <alignment vertical="center"/>
    </xf>
    <xf numFmtId="3" fontId="26" fillId="38" borderId="10" xfId="0" applyNumberFormat="1" applyFont="1" applyFill="1" applyBorder="1" applyAlignment="1">
      <alignment vertical="center"/>
    </xf>
    <xf numFmtId="0" fontId="62" fillId="33" borderId="10" xfId="0" applyFont="1" applyFill="1" applyBorder="1" applyAlignment="1">
      <alignment vertical="center"/>
    </xf>
    <xf numFmtId="0" fontId="0" fillId="33" borderId="0" xfId="0" applyFill="1" applyAlignment="1">
      <alignment horizontal="left"/>
    </xf>
    <xf numFmtId="0" fontId="28" fillId="0" borderId="10" xfId="0" applyFont="1" applyBorder="1" applyAlignment="1">
      <alignment vertical="center"/>
    </xf>
    <xf numFmtId="165" fontId="28" fillId="0" borderId="11" xfId="0" applyNumberFormat="1" applyFont="1" applyBorder="1" applyAlignment="1">
      <alignment vertical="center"/>
    </xf>
    <xf numFmtId="0" fontId="49" fillId="0" borderId="0" xfId="0" applyFont="1" applyFill="1"/>
    <xf numFmtId="0" fontId="49" fillId="39" borderId="0" xfId="0" applyFont="1" applyFill="1"/>
    <xf numFmtId="165" fontId="33" fillId="48" borderId="0" xfId="42" applyNumberFormat="1" applyFont="1" applyFill="1" applyAlignment="1">
      <alignment horizontal="center" vertical="center"/>
    </xf>
    <xf numFmtId="0" fontId="33" fillId="48" borderId="0" xfId="0" applyFont="1" applyFill="1" applyAlignment="1">
      <alignment horizontal="center" vertical="center"/>
    </xf>
    <xf numFmtId="3" fontId="0" fillId="39" borderId="0" xfId="0" applyNumberFormat="1" applyFill="1"/>
    <xf numFmtId="172" fontId="0" fillId="0" borderId="10" xfId="42" applyNumberFormat="1" applyFont="1" applyBorder="1"/>
    <xf numFmtId="0" fontId="0" fillId="0" borderId="10" xfId="0" applyFill="1" applyBorder="1" applyAlignment="1">
      <alignment vertical="top"/>
    </xf>
    <xf numFmtId="172" fontId="0" fillId="0" borderId="10" xfId="0" applyNumberFormat="1" applyBorder="1"/>
    <xf numFmtId="172" fontId="0" fillId="0" borderId="0" xfId="42" applyNumberFormat="1" applyFont="1" applyFill="1" applyBorder="1"/>
    <xf numFmtId="0" fontId="97" fillId="0" borderId="0" xfId="0" applyFont="1" applyFill="1" applyBorder="1" applyAlignment="1">
      <alignment vertical="top"/>
    </xf>
    <xf numFmtId="0" fontId="0" fillId="0" borderId="23" xfId="0" applyBorder="1"/>
    <xf numFmtId="9" fontId="31" fillId="0" borderId="55" xfId="0" applyNumberFormat="1" applyFont="1" applyBorder="1" applyAlignment="1">
      <alignment horizontal="center" vertical="center"/>
    </xf>
    <xf numFmtId="0" fontId="31" fillId="35" borderId="78" xfId="0" applyFont="1" applyFill="1" applyBorder="1" applyAlignment="1">
      <alignment horizontal="center" vertical="center" wrapText="1"/>
    </xf>
    <xf numFmtId="0" fontId="31" fillId="35" borderId="40" xfId="0" applyFont="1" applyFill="1" applyBorder="1" applyAlignment="1">
      <alignment horizontal="center" vertical="center" wrapText="1"/>
    </xf>
    <xf numFmtId="0" fontId="31" fillId="35" borderId="41" xfId="0" applyFont="1" applyFill="1" applyBorder="1" applyAlignment="1">
      <alignment horizontal="center" vertical="center" wrapText="1"/>
    </xf>
    <xf numFmtId="0" fontId="31" fillId="35" borderId="42" xfId="0" applyFont="1" applyFill="1" applyBorder="1" applyAlignment="1">
      <alignment horizontal="center" vertical="center" wrapText="1"/>
    </xf>
    <xf numFmtId="0" fontId="31" fillId="70" borderId="55" xfId="0" applyFont="1" applyFill="1" applyBorder="1" applyAlignment="1">
      <alignment horizontal="center" vertical="center" wrapText="1"/>
    </xf>
    <xf numFmtId="0" fontId="33" fillId="0" borderId="62" xfId="0" applyFont="1" applyBorder="1"/>
    <xf numFmtId="0" fontId="33" fillId="0" borderId="0" xfId="0" applyFont="1" applyBorder="1"/>
    <xf numFmtId="0" fontId="33" fillId="0" borderId="63" xfId="0" applyFont="1" applyBorder="1"/>
    <xf numFmtId="165" fontId="33" fillId="0" borderId="62" xfId="42" applyNumberFormat="1" applyFont="1" applyBorder="1" applyAlignment="1">
      <alignment horizontal="right"/>
    </xf>
    <xf numFmtId="165" fontId="33" fillId="0" borderId="0" xfId="42" applyNumberFormat="1" applyFont="1" applyBorder="1" applyAlignment="1">
      <alignment horizontal="right"/>
    </xf>
    <xf numFmtId="165" fontId="33" fillId="0" borderId="63" xfId="42" applyNumberFormat="1" applyFont="1" applyBorder="1" applyAlignment="1">
      <alignment horizontal="right"/>
    </xf>
    <xf numFmtId="3" fontId="0" fillId="0" borderId="22" xfId="0" applyNumberFormat="1" applyBorder="1" applyAlignment="1">
      <alignment horizontal="right"/>
    </xf>
    <xf numFmtId="3" fontId="0" fillId="0" borderId="23" xfId="0" applyNumberFormat="1" applyBorder="1" applyAlignment="1">
      <alignment horizontal="right"/>
    </xf>
    <xf numFmtId="165" fontId="33" fillId="0" borderId="43" xfId="42" applyNumberFormat="1" applyFont="1" applyBorder="1" applyAlignment="1">
      <alignment horizontal="right" wrapText="1"/>
    </xf>
    <xf numFmtId="3" fontId="0" fillId="0" borderId="43" xfId="0" applyNumberFormat="1" applyBorder="1" applyAlignment="1">
      <alignment horizontal="right"/>
    </xf>
    <xf numFmtId="3" fontId="0" fillId="0" borderId="62" xfId="0" applyNumberFormat="1" applyBorder="1" applyAlignment="1">
      <alignment horizontal="right"/>
    </xf>
    <xf numFmtId="3" fontId="0" fillId="0" borderId="0" xfId="0" applyNumberFormat="1" applyBorder="1" applyAlignment="1">
      <alignment horizontal="right"/>
    </xf>
    <xf numFmtId="165" fontId="33" fillId="0" borderId="45" xfId="42" applyNumberFormat="1" applyFont="1" applyBorder="1" applyAlignment="1">
      <alignment horizontal="right" wrapText="1"/>
    </xf>
    <xf numFmtId="3" fontId="0" fillId="0" borderId="45" xfId="0" applyNumberFormat="1" applyBorder="1" applyAlignment="1">
      <alignment horizontal="right"/>
    </xf>
    <xf numFmtId="0" fontId="33" fillId="0" borderId="60" xfId="0" applyFont="1" applyBorder="1"/>
    <xf numFmtId="0" fontId="33" fillId="0" borderId="78" xfId="0" applyFont="1" applyBorder="1"/>
    <xf numFmtId="0" fontId="33" fillId="0" borderId="73" xfId="0" applyFont="1" applyBorder="1"/>
    <xf numFmtId="165" fontId="33" fillId="0" borderId="60" xfId="42" applyNumberFormat="1" applyFont="1" applyBorder="1" applyAlignment="1">
      <alignment horizontal="right"/>
    </xf>
    <xf numFmtId="165" fontId="33" fillId="0" borderId="78" xfId="42" applyNumberFormat="1" applyFont="1" applyBorder="1" applyAlignment="1">
      <alignment horizontal="right"/>
    </xf>
    <xf numFmtId="165" fontId="33" fillId="0" borderId="73" xfId="42" applyNumberFormat="1" applyFont="1" applyBorder="1" applyAlignment="1">
      <alignment horizontal="right"/>
    </xf>
    <xf numFmtId="3" fontId="0" fillId="0" borderId="60" xfId="0" applyNumberFormat="1" applyBorder="1" applyAlignment="1">
      <alignment horizontal="right"/>
    </xf>
    <xf numFmtId="3" fontId="0" fillId="0" borderId="78" xfId="0" applyNumberFormat="1" applyBorder="1" applyAlignment="1">
      <alignment horizontal="right"/>
    </xf>
    <xf numFmtId="165" fontId="33" fillId="0" borderId="72" xfId="42" applyNumberFormat="1" applyFont="1" applyBorder="1" applyAlignment="1">
      <alignment horizontal="right" wrapText="1"/>
    </xf>
    <xf numFmtId="3" fontId="0" fillId="0" borderId="72" xfId="0" applyNumberFormat="1" applyBorder="1" applyAlignment="1">
      <alignment horizontal="right"/>
    </xf>
    <xf numFmtId="167" fontId="89" fillId="71" borderId="10" xfId="49" applyNumberFormat="1" applyFont="1" applyFill="1" applyBorder="1" applyAlignment="1">
      <alignment horizontal="center" vertical="center"/>
    </xf>
    <xf numFmtId="0" fontId="90" fillId="71" borderId="10" xfId="49" applyNumberFormat="1" applyFont="1" applyFill="1" applyBorder="1" applyAlignment="1">
      <alignment horizontal="center" vertical="center" wrapText="1"/>
    </xf>
    <xf numFmtId="165" fontId="90" fillId="71" borderId="10" xfId="64" applyNumberFormat="1" applyFont="1" applyFill="1" applyBorder="1" applyAlignment="1">
      <alignment horizontal="center" vertical="center" wrapText="1"/>
    </xf>
    <xf numFmtId="174" fontId="0" fillId="0" borderId="0" xfId="50" applyNumberFormat="1" applyFont="1"/>
    <xf numFmtId="169" fontId="21" fillId="0" borderId="10" xfId="0" applyNumberFormat="1" applyFont="1" applyBorder="1"/>
    <xf numFmtId="0" fontId="26" fillId="0" borderId="10" xfId="0" applyFont="1" applyBorder="1" applyAlignment="1">
      <alignment horizontal="center" vertical="center" wrapText="1"/>
    </xf>
    <xf numFmtId="0" fontId="98" fillId="0" borderId="55" xfId="0" applyFont="1" applyFill="1" applyBorder="1" applyAlignment="1">
      <alignment horizontal="left" vertical="center" wrapText="1"/>
    </xf>
    <xf numFmtId="169" fontId="98" fillId="0" borderId="54" xfId="0" applyNumberFormat="1" applyFont="1" applyFill="1" applyBorder="1" applyAlignment="1">
      <alignment horizontal="right" vertical="center"/>
    </xf>
    <xf numFmtId="169" fontId="98" fillId="0" borderId="52" xfId="0" applyNumberFormat="1" applyFont="1" applyFill="1" applyBorder="1" applyAlignment="1">
      <alignment horizontal="right" vertical="center"/>
    </xf>
    <xf numFmtId="169" fontId="98" fillId="0" borderId="53" xfId="0" applyNumberFormat="1" applyFont="1" applyFill="1" applyBorder="1" applyAlignment="1">
      <alignment horizontal="right" vertical="center"/>
    </xf>
    <xf numFmtId="169" fontId="99" fillId="0" borderId="0" xfId="0" applyNumberFormat="1" applyFont="1" applyFill="1" applyBorder="1" applyAlignment="1">
      <alignment vertical="center"/>
    </xf>
    <xf numFmtId="0" fontId="100" fillId="0" borderId="55" xfId="0" applyFont="1" applyFill="1" applyBorder="1" applyAlignment="1">
      <alignment vertical="center" wrapText="1"/>
    </xf>
    <xf numFmtId="169" fontId="100" fillId="0" borderId="54" xfId="0" applyNumberFormat="1" applyFont="1" applyFill="1" applyBorder="1" applyAlignment="1">
      <alignment horizontal="right" vertical="center"/>
    </xf>
    <xf numFmtId="169" fontId="100" fillId="0" borderId="52" xfId="0" applyNumberFormat="1" applyFont="1" applyFill="1" applyBorder="1" applyAlignment="1">
      <alignment horizontal="right" vertical="center"/>
    </xf>
    <xf numFmtId="169" fontId="100" fillId="0" borderId="53" xfId="0" applyNumberFormat="1" applyFont="1" applyFill="1" applyBorder="1" applyAlignment="1">
      <alignment horizontal="right" vertical="center"/>
    </xf>
    <xf numFmtId="0" fontId="101" fillId="0" borderId="49" xfId="0" applyFont="1" applyFill="1" applyBorder="1" applyAlignment="1">
      <alignment horizontal="left" vertical="center" wrapText="1" indent="2"/>
    </xf>
    <xf numFmtId="169" fontId="101" fillId="0" borderId="12" xfId="0" applyNumberFormat="1" applyFont="1" applyFill="1" applyBorder="1" applyAlignment="1">
      <alignment vertical="center"/>
    </xf>
    <xf numFmtId="169" fontId="101" fillId="0" borderId="14" xfId="0" applyNumberFormat="1" applyFont="1" applyFill="1" applyBorder="1" applyAlignment="1">
      <alignment vertical="center"/>
    </xf>
    <xf numFmtId="169" fontId="101" fillId="0" borderId="46" xfId="0" applyNumberFormat="1" applyFont="1" applyFill="1" applyBorder="1" applyAlignment="1">
      <alignment horizontal="right" vertical="center"/>
    </xf>
    <xf numFmtId="0" fontId="101" fillId="0" borderId="50" xfId="0" applyFont="1" applyFill="1" applyBorder="1" applyAlignment="1">
      <alignment horizontal="left" vertical="center" wrapText="1" indent="2"/>
    </xf>
    <xf numFmtId="169" fontId="101" fillId="0" borderId="20" xfId="0" applyNumberFormat="1" applyFont="1" applyFill="1" applyBorder="1" applyAlignment="1">
      <alignment horizontal="right" vertical="center"/>
    </xf>
    <xf numFmtId="175" fontId="101" fillId="0" borderId="10" xfId="0" applyNumberFormat="1" applyFont="1" applyFill="1" applyBorder="1" applyAlignment="1">
      <alignment horizontal="right" vertical="center"/>
    </xf>
    <xf numFmtId="169" fontId="101" fillId="0" borderId="10" xfId="0" applyNumberFormat="1" applyFont="1" applyFill="1" applyBorder="1" applyAlignment="1">
      <alignment horizontal="right" vertical="center"/>
    </xf>
    <xf numFmtId="169" fontId="101" fillId="0" borderId="31" xfId="0" applyNumberFormat="1" applyFont="1" applyFill="1" applyBorder="1" applyAlignment="1">
      <alignment horizontal="right" vertical="center"/>
    </xf>
    <xf numFmtId="0" fontId="102" fillId="0" borderId="0" xfId="0" applyFont="1" applyAlignment="1">
      <alignment horizontal="center" vertical="center"/>
    </xf>
    <xf numFmtId="0" fontId="101" fillId="0" borderId="57" xfId="0" applyFont="1" applyFill="1" applyBorder="1" applyAlignment="1">
      <alignment horizontal="left" vertical="center" wrapText="1" indent="2"/>
    </xf>
    <xf numFmtId="169" fontId="101" fillId="0" borderId="70" xfId="0" applyNumberFormat="1" applyFont="1" applyFill="1" applyBorder="1" applyAlignment="1">
      <alignment horizontal="right" vertical="center"/>
    </xf>
    <xf numFmtId="169" fontId="101" fillId="0" borderId="11" xfId="0" applyNumberFormat="1" applyFont="1" applyFill="1" applyBorder="1" applyAlignment="1">
      <alignment horizontal="right" vertical="center"/>
    </xf>
    <xf numFmtId="169" fontId="101" fillId="0" borderId="59" xfId="0" applyNumberFormat="1" applyFont="1" applyFill="1" applyBorder="1" applyAlignment="1">
      <alignment horizontal="right" vertical="center"/>
    </xf>
    <xf numFmtId="0" fontId="100" fillId="0" borderId="55" xfId="0" applyFont="1" applyFill="1" applyBorder="1" applyAlignment="1">
      <alignment horizontal="left" vertical="center" wrapText="1"/>
    </xf>
    <xf numFmtId="175" fontId="100" fillId="0" borderId="52" xfId="0" applyNumberFormat="1" applyFont="1" applyFill="1" applyBorder="1" applyAlignment="1">
      <alignment horizontal="right" vertical="center"/>
    </xf>
    <xf numFmtId="165" fontId="1" fillId="35" borderId="27" xfId="42" applyNumberFormat="1" applyFont="1" applyFill="1" applyBorder="1"/>
    <xf numFmtId="165" fontId="1" fillId="0" borderId="0" xfId="42" applyNumberFormat="1" applyFont="1"/>
    <xf numFmtId="169" fontId="101" fillId="0" borderId="0" xfId="0" applyNumberFormat="1" applyFont="1" applyFill="1" applyAlignment="1">
      <alignment vertical="center"/>
    </xf>
    <xf numFmtId="0" fontId="101" fillId="0" borderId="0" xfId="0" applyFont="1" applyFill="1" applyAlignment="1">
      <alignment vertical="center"/>
    </xf>
    <xf numFmtId="0" fontId="102" fillId="0" borderId="0" xfId="0" applyFont="1" applyAlignment="1">
      <alignment vertical="center"/>
    </xf>
    <xf numFmtId="0" fontId="56" fillId="38" borderId="10" xfId="0" applyFont="1" applyFill="1" applyBorder="1" applyAlignment="1">
      <alignment horizontal="center" vertical="center" wrapText="1"/>
    </xf>
    <xf numFmtId="0" fontId="56" fillId="36" borderId="10" xfId="0" applyFont="1" applyFill="1" applyBorder="1" applyAlignment="1">
      <alignment horizontal="center" vertical="center" wrapText="1"/>
    </xf>
    <xf numFmtId="172" fontId="56" fillId="38" borderId="10" xfId="44" applyNumberFormat="1" applyFont="1" applyFill="1" applyBorder="1" applyAlignment="1">
      <alignment horizontal="center" vertical="center" wrapText="1"/>
    </xf>
    <xf numFmtId="172" fontId="57" fillId="0" borderId="10" xfId="44" applyNumberFormat="1" applyFont="1" applyFill="1" applyBorder="1" applyAlignment="1">
      <alignment horizontal="right" vertical="center" indent="2"/>
    </xf>
    <xf numFmtId="172" fontId="57" fillId="0" borderId="10" xfId="0" applyNumberFormat="1" applyFont="1" applyBorder="1" applyAlignment="1">
      <alignment vertical="center"/>
    </xf>
    <xf numFmtId="172" fontId="57" fillId="0" borderId="10" xfId="44" applyNumberFormat="1" applyFont="1" applyFill="1" applyBorder="1" applyAlignment="1">
      <alignment vertical="center"/>
    </xf>
    <xf numFmtId="172" fontId="56" fillId="38" borderId="10" xfId="44" applyNumberFormat="1" applyFont="1" applyFill="1" applyBorder="1" applyAlignment="1">
      <alignment horizontal="left" vertical="center" wrapText="1"/>
    </xf>
    <xf numFmtId="172" fontId="56" fillId="38" borderId="10" xfId="44" applyNumberFormat="1" applyFont="1" applyFill="1" applyBorder="1" applyAlignment="1">
      <alignment horizontal="right" vertical="center" indent="2"/>
    </xf>
    <xf numFmtId="172" fontId="56" fillId="38" borderId="10" xfId="0" applyNumberFormat="1" applyFont="1" applyFill="1" applyBorder="1" applyAlignment="1">
      <alignment vertical="center"/>
    </xf>
    <xf numFmtId="0" fontId="103" fillId="0" borderId="0" xfId="0" applyFont="1"/>
    <xf numFmtId="0" fontId="104" fillId="0" borderId="0" xfId="0" applyFont="1"/>
    <xf numFmtId="0" fontId="66" fillId="0" borderId="10" xfId="0" applyFont="1" applyFill="1" applyBorder="1" applyAlignment="1">
      <alignment vertical="center" wrapText="1"/>
    </xf>
    <xf numFmtId="0" fontId="105" fillId="0" borderId="10" xfId="0" applyFont="1" applyFill="1" applyBorder="1" applyAlignment="1">
      <alignment vertical="center"/>
    </xf>
    <xf numFmtId="3" fontId="66" fillId="0" borderId="10" xfId="42" applyNumberFormat="1" applyFont="1" applyFill="1" applyBorder="1" applyAlignment="1">
      <alignment vertical="center"/>
    </xf>
    <xf numFmtId="3" fontId="66" fillId="0" borderId="10" xfId="0" applyNumberFormat="1" applyFont="1" applyFill="1" applyBorder="1" applyAlignment="1">
      <alignment horizontal="center" vertical="center"/>
    </xf>
    <xf numFmtId="3" fontId="66" fillId="0" borderId="10" xfId="0" applyNumberFormat="1" applyFont="1" applyFill="1" applyBorder="1" applyAlignment="1">
      <alignment vertical="center"/>
    </xf>
    <xf numFmtId="0" fontId="64" fillId="0" borderId="0" xfId="0" applyFont="1" applyFill="1" applyBorder="1" applyAlignment="1">
      <alignment vertical="center"/>
    </xf>
    <xf numFmtId="0" fontId="106" fillId="0" borderId="10" xfId="43" applyFont="1" applyFill="1" applyBorder="1" applyAlignment="1">
      <alignment horizontal="center" vertical="center"/>
    </xf>
    <xf numFmtId="0" fontId="28" fillId="0" borderId="0" xfId="0" applyFont="1" applyFill="1" applyAlignment="1">
      <alignment vertical="center" wrapText="1"/>
    </xf>
    <xf numFmtId="0" fontId="28" fillId="0" borderId="17" xfId="0" applyFont="1" applyFill="1" applyBorder="1" applyAlignment="1">
      <alignment wrapText="1"/>
    </xf>
    <xf numFmtId="0" fontId="28" fillId="0" borderId="0" xfId="0" applyFont="1" applyFill="1" applyBorder="1" applyAlignment="1">
      <alignment horizontal="center" wrapText="1"/>
    </xf>
    <xf numFmtId="165" fontId="28" fillId="0" borderId="0" xfId="42" applyNumberFormat="1" applyFont="1" applyFill="1" applyAlignment="1">
      <alignment vertical="center"/>
    </xf>
    <xf numFmtId="165" fontId="28" fillId="0" borderId="0" xfId="42" applyNumberFormat="1" applyFont="1" applyFill="1" applyAlignment="1">
      <alignment vertical="center" wrapText="1"/>
    </xf>
    <xf numFmtId="3" fontId="31" fillId="0" borderId="10" xfId="0" applyNumberFormat="1" applyFont="1" applyFill="1" applyBorder="1" applyAlignment="1">
      <alignment horizontal="center"/>
    </xf>
    <xf numFmtId="0" fontId="60" fillId="33" borderId="10" xfId="0" applyFont="1" applyFill="1" applyBorder="1" applyAlignment="1">
      <alignment vertical="center"/>
    </xf>
    <xf numFmtId="0" fontId="63" fillId="0" borderId="10" xfId="0" applyFont="1" applyFill="1" applyBorder="1" applyAlignment="1">
      <alignment vertical="center"/>
    </xf>
    <xf numFmtId="0" fontId="76" fillId="0" borderId="22" xfId="0" applyFont="1" applyBorder="1"/>
    <xf numFmtId="0" fontId="77" fillId="0" borderId="23" xfId="0" applyFont="1" applyBorder="1"/>
    <xf numFmtId="3" fontId="77" fillId="0" borderId="23" xfId="0" applyNumberFormat="1" applyFont="1" applyBorder="1"/>
    <xf numFmtId="0" fontId="77" fillId="0" borderId="0" xfId="0" applyFont="1"/>
    <xf numFmtId="3" fontId="0" fillId="0" borderId="14" xfId="0" applyNumberFormat="1" applyBorder="1"/>
    <xf numFmtId="3" fontId="0" fillId="0" borderId="11" xfId="0" applyNumberFormat="1" applyBorder="1"/>
    <xf numFmtId="0" fontId="79" fillId="0" borderId="0" xfId="0" applyFont="1"/>
    <xf numFmtId="0" fontId="77" fillId="0" borderId="44" xfId="0" applyFont="1" applyBorder="1" applyAlignment="1">
      <alignment vertical="center"/>
    </xf>
    <xf numFmtId="0" fontId="78" fillId="0" borderId="33" xfId="0" applyFont="1" applyBorder="1" applyAlignment="1">
      <alignment horizontal="center" vertical="center"/>
    </xf>
    <xf numFmtId="0" fontId="78" fillId="0" borderId="33" xfId="0" applyFont="1" applyBorder="1" applyAlignment="1">
      <alignment horizontal="center" vertical="center" wrapText="1"/>
    </xf>
    <xf numFmtId="3" fontId="78" fillId="0" borderId="33" xfId="0" applyNumberFormat="1" applyFont="1" applyBorder="1" applyAlignment="1">
      <alignment horizontal="center" vertical="center"/>
    </xf>
    <xf numFmtId="0" fontId="78" fillId="0" borderId="0" xfId="0" applyFont="1" applyAlignment="1">
      <alignment horizontal="center" vertical="center"/>
    </xf>
    <xf numFmtId="0" fontId="0" fillId="38" borderId="10" xfId="0" applyFill="1" applyBorder="1"/>
    <xf numFmtId="3" fontId="0" fillId="0" borderId="14" xfId="0" applyNumberFormat="1" applyFill="1" applyBorder="1"/>
    <xf numFmtId="0" fontId="49" fillId="0" borderId="10" xfId="0" applyFont="1" applyFill="1" applyBorder="1"/>
    <xf numFmtId="0" fontId="23" fillId="0" borderId="10" xfId="0" applyFont="1" applyBorder="1" applyAlignment="1">
      <alignment vertical="center"/>
    </xf>
    <xf numFmtId="0" fontId="49" fillId="53" borderId="10" xfId="0" applyFont="1" applyFill="1" applyBorder="1"/>
    <xf numFmtId="0" fontId="107" fillId="0" borderId="10" xfId="0" applyFont="1" applyFill="1" applyBorder="1"/>
    <xf numFmtId="2" fontId="31" fillId="0" borderId="10" xfId="0" applyNumberFormat="1" applyFont="1" applyFill="1" applyBorder="1"/>
    <xf numFmtId="0" fontId="31" fillId="0" borderId="10" xfId="0" applyFont="1" applyBorder="1"/>
    <xf numFmtId="0" fontId="31" fillId="0" borderId="0" xfId="0" applyFont="1" applyFill="1" applyBorder="1" applyAlignment="1">
      <alignment vertical="center"/>
    </xf>
    <xf numFmtId="0" fontId="31" fillId="0" borderId="0" xfId="0" applyFont="1" applyAlignment="1">
      <alignment vertical="center"/>
    </xf>
    <xf numFmtId="0" fontId="31" fillId="0" borderId="0" xfId="0" applyFont="1" applyBorder="1" applyAlignment="1">
      <alignment vertical="center"/>
    </xf>
    <xf numFmtId="2" fontId="31" fillId="53" borderId="10" xfId="0" applyNumberFormat="1" applyFont="1" applyFill="1" applyBorder="1"/>
    <xf numFmtId="0" fontId="107" fillId="38" borderId="10" xfId="0" applyFont="1" applyFill="1" applyBorder="1"/>
    <xf numFmtId="2" fontId="31" fillId="38" borderId="10" xfId="0" applyNumberFormat="1" applyFont="1" applyFill="1" applyBorder="1"/>
    <xf numFmtId="0" fontId="31" fillId="38" borderId="10" xfId="0" applyFont="1" applyFill="1" applyBorder="1"/>
    <xf numFmtId="0" fontId="31" fillId="38" borderId="10" xfId="0" applyFont="1" applyFill="1" applyBorder="1" applyAlignment="1">
      <alignment vertical="center"/>
    </xf>
    <xf numFmtId="2" fontId="0" fillId="0" borderId="0" xfId="0" applyNumberFormat="1" applyBorder="1" applyAlignment="1">
      <alignment vertical="center"/>
    </xf>
    <xf numFmtId="0" fontId="49" fillId="38" borderId="10" xfId="0" applyFont="1" applyFill="1" applyBorder="1"/>
    <xf numFmtId="0" fontId="0" fillId="53" borderId="10" xfId="0" applyFill="1" applyBorder="1"/>
    <xf numFmtId="0" fontId="0" fillId="53" borderId="0" xfId="0" applyFill="1" applyAlignment="1">
      <alignment vertical="center"/>
    </xf>
    <xf numFmtId="0" fontId="0" fillId="0" borderId="0" xfId="0" applyFill="1" applyAlignment="1">
      <alignment vertical="center"/>
    </xf>
    <xf numFmtId="3" fontId="31" fillId="0" borderId="10" xfId="0" applyNumberFormat="1" applyFont="1" applyFill="1" applyBorder="1"/>
    <xf numFmtId="3" fontId="31" fillId="38" borderId="10" xfId="0" applyNumberFormat="1" applyFont="1" applyFill="1" applyBorder="1"/>
    <xf numFmtId="3" fontId="49" fillId="0" borderId="10" xfId="0" applyNumberFormat="1" applyFont="1" applyFill="1" applyBorder="1"/>
    <xf numFmtId="3" fontId="31" fillId="0" borderId="0" xfId="0" applyNumberFormat="1" applyFont="1" applyFill="1" applyAlignment="1">
      <alignment vertical="center"/>
    </xf>
    <xf numFmtId="3" fontId="0" fillId="0" borderId="98" xfId="0" applyNumberFormat="1" applyFont="1" applyFill="1" applyBorder="1"/>
    <xf numFmtId="165" fontId="63" fillId="0" borderId="0" xfId="42" applyNumberFormat="1" applyFont="1" applyBorder="1" applyAlignment="1">
      <alignment vertical="center"/>
    </xf>
    <xf numFmtId="0" fontId="66" fillId="33" borderId="10" xfId="0" applyFont="1" applyFill="1" applyBorder="1" applyAlignment="1">
      <alignment vertical="center"/>
    </xf>
    <xf numFmtId="3" fontId="62" fillId="33" borderId="10" xfId="42" applyNumberFormat="1" applyFont="1" applyFill="1" applyBorder="1" applyAlignment="1">
      <alignment vertical="center"/>
    </xf>
    <xf numFmtId="3" fontId="60" fillId="33" borderId="10" xfId="42" applyNumberFormat="1" applyFont="1" applyFill="1" applyBorder="1" applyAlignment="1">
      <alignment vertical="center"/>
    </xf>
    <xf numFmtId="3" fontId="60" fillId="33" borderId="10" xfId="0" applyNumberFormat="1" applyFont="1" applyFill="1" applyBorder="1" applyAlignment="1">
      <alignment vertical="center"/>
    </xf>
    <xf numFmtId="3" fontId="62" fillId="33" borderId="10" xfId="0" applyNumberFormat="1" applyFont="1" applyFill="1" applyBorder="1" applyAlignment="1">
      <alignment vertical="center"/>
    </xf>
    <xf numFmtId="0" fontId="60" fillId="33" borderId="0" xfId="0" applyFont="1" applyFill="1" applyBorder="1" applyAlignment="1">
      <alignment vertical="center"/>
    </xf>
    <xf numFmtId="3" fontId="60" fillId="0" borderId="0" xfId="0" applyNumberFormat="1" applyFont="1" applyBorder="1" applyAlignment="1">
      <alignment horizontal="center" vertical="center"/>
    </xf>
    <xf numFmtId="3" fontId="60" fillId="33" borderId="0" xfId="0" applyNumberFormat="1" applyFont="1" applyFill="1" applyBorder="1" applyAlignment="1">
      <alignment horizontal="center" vertical="center"/>
    </xf>
    <xf numFmtId="3" fontId="60" fillId="72" borderId="10" xfId="42" applyNumberFormat="1" applyFont="1" applyFill="1" applyBorder="1" applyAlignment="1">
      <alignment vertical="center"/>
    </xf>
    <xf numFmtId="3" fontId="105" fillId="33" borderId="44" xfId="42" applyNumberFormat="1" applyFont="1" applyFill="1" applyBorder="1" applyAlignment="1">
      <alignment vertical="center"/>
    </xf>
    <xf numFmtId="3" fontId="66" fillId="33" borderId="63" xfId="42" applyNumberFormat="1" applyFont="1" applyFill="1" applyBorder="1" applyAlignment="1">
      <alignment vertical="center"/>
    </xf>
    <xf numFmtId="3" fontId="66" fillId="33" borderId="42" xfId="42" applyNumberFormat="1" applyFont="1" applyFill="1" applyBorder="1" applyAlignment="1">
      <alignment vertical="center"/>
    </xf>
    <xf numFmtId="3" fontId="62" fillId="33" borderId="10" xfId="0" applyNumberFormat="1" applyFont="1" applyFill="1" applyBorder="1" applyAlignment="1">
      <alignment horizontal="center" vertical="center"/>
    </xf>
    <xf numFmtId="3" fontId="60" fillId="33" borderId="10" xfId="0" applyNumberFormat="1" applyFont="1" applyFill="1" applyBorder="1" applyAlignment="1">
      <alignment horizontal="center" vertical="center"/>
    </xf>
    <xf numFmtId="3" fontId="0" fillId="0" borderId="0" xfId="0" applyNumberFormat="1" applyAlignment="1">
      <alignment vertical="center"/>
    </xf>
    <xf numFmtId="3" fontId="23" fillId="0" borderId="0" xfId="0" applyNumberFormat="1" applyFont="1" applyFill="1"/>
    <xf numFmtId="0" fontId="0" fillId="0" borderId="17" xfId="0" applyFill="1" applyBorder="1"/>
    <xf numFmtId="3" fontId="0" fillId="0" borderId="17" xfId="0" applyNumberFormat="1" applyFill="1" applyBorder="1"/>
    <xf numFmtId="0" fontId="78" fillId="0" borderId="33" xfId="0" applyFont="1" applyBorder="1" applyAlignment="1">
      <alignment horizontal="center" vertical="center" wrapText="1"/>
    </xf>
    <xf numFmtId="0" fontId="107" fillId="38" borderId="10" xfId="0" applyFont="1" applyFill="1" applyBorder="1" applyAlignment="1">
      <alignment wrapText="1"/>
    </xf>
    <xf numFmtId="1" fontId="31" fillId="0" borderId="0" xfId="0" applyNumberFormat="1" applyFont="1" applyAlignment="1">
      <alignment horizontal="center" vertical="center"/>
    </xf>
    <xf numFmtId="1" fontId="31" fillId="0" borderId="10" xfId="0" applyNumberFormat="1" applyFont="1" applyBorder="1" applyAlignment="1">
      <alignment horizontal="center" vertical="center"/>
    </xf>
    <xf numFmtId="0" fontId="107" fillId="38" borderId="20" xfId="0" applyFont="1" applyFill="1" applyBorder="1" applyAlignment="1">
      <alignment horizontal="center" vertical="center"/>
    </xf>
    <xf numFmtId="1" fontId="31" fillId="0" borderId="20" xfId="0" applyNumberFormat="1" applyFont="1" applyBorder="1" applyAlignment="1">
      <alignment horizontal="center" vertical="center"/>
    </xf>
    <xf numFmtId="0" fontId="49" fillId="0" borderId="20" xfId="0" applyFont="1" applyBorder="1" applyAlignment="1">
      <alignment horizontal="center" vertical="center"/>
    </xf>
    <xf numFmtId="0" fontId="107" fillId="0" borderId="20" xfId="0" applyFont="1" applyFill="1" applyBorder="1" applyAlignment="1">
      <alignment horizontal="center" vertical="center"/>
    </xf>
    <xf numFmtId="0" fontId="107" fillId="57" borderId="20" xfId="0" applyFont="1" applyFill="1" applyBorder="1" applyAlignment="1">
      <alignment horizontal="center" vertical="center"/>
    </xf>
    <xf numFmtId="0" fontId="107" fillId="0" borderId="20" xfId="0" applyFont="1" applyBorder="1" applyAlignment="1">
      <alignment horizontal="center" vertical="center"/>
    </xf>
    <xf numFmtId="2" fontId="31" fillId="0" borderId="20" xfId="0" applyNumberFormat="1" applyFont="1" applyBorder="1" applyAlignment="1">
      <alignment horizontal="center" vertical="center"/>
    </xf>
    <xf numFmtId="3" fontId="107" fillId="0" borderId="20" xfId="0" applyNumberFormat="1" applyFont="1" applyFill="1" applyBorder="1" applyAlignment="1">
      <alignment horizontal="center" vertical="center"/>
    </xf>
    <xf numFmtId="0" fontId="49" fillId="38" borderId="20" xfId="0" applyFont="1" applyFill="1" applyBorder="1" applyAlignment="1">
      <alignment horizontal="center" vertical="center"/>
    </xf>
    <xf numFmtId="0" fontId="49" fillId="53" borderId="20" xfId="0" applyFont="1" applyFill="1" applyBorder="1" applyAlignment="1">
      <alignment horizontal="center" vertical="center"/>
    </xf>
    <xf numFmtId="0" fontId="56" fillId="38" borderId="44" xfId="58" applyFont="1" applyFill="1" applyBorder="1" applyAlignment="1">
      <alignment horizontal="center" vertical="center" wrapText="1"/>
    </xf>
    <xf numFmtId="3" fontId="26" fillId="0" borderId="0" xfId="0" applyNumberFormat="1" applyFont="1" applyAlignment="1">
      <alignment wrapText="1"/>
    </xf>
    <xf numFmtId="0" fontId="59" fillId="38" borderId="43" xfId="0" applyFont="1" applyFill="1" applyBorder="1" applyAlignment="1">
      <alignment horizontal="center" vertical="center" wrapText="1"/>
    </xf>
    <xf numFmtId="0" fontId="108" fillId="38" borderId="58" xfId="0" applyFont="1" applyFill="1" applyBorder="1" applyAlignment="1">
      <alignment horizontal="center" vertical="center" wrapText="1"/>
    </xf>
    <xf numFmtId="0" fontId="108" fillId="38" borderId="21" xfId="0" applyFont="1" applyFill="1" applyBorder="1" applyAlignment="1">
      <alignment horizontal="center" vertical="center" wrapText="1"/>
    </xf>
    <xf numFmtId="0" fontId="108" fillId="38" borderId="97" xfId="0" applyFont="1" applyFill="1" applyBorder="1" applyAlignment="1">
      <alignment horizontal="center" vertical="center" wrapText="1"/>
    </xf>
    <xf numFmtId="0" fontId="108" fillId="38" borderId="57" xfId="0" applyFont="1" applyFill="1" applyBorder="1" applyAlignment="1">
      <alignment horizontal="center" vertical="center" wrapText="1"/>
    </xf>
    <xf numFmtId="0" fontId="108" fillId="63" borderId="25" xfId="0" applyFont="1" applyFill="1" applyBorder="1" applyAlignment="1">
      <alignment vertical="center" wrapText="1"/>
    </xf>
    <xf numFmtId="3" fontId="26" fillId="63" borderId="25" xfId="0" applyNumberFormat="1" applyFont="1" applyFill="1" applyBorder="1"/>
    <xf numFmtId="3" fontId="26" fillId="63" borderId="26" xfId="0" applyNumberFormat="1" applyFont="1" applyFill="1" applyBorder="1"/>
    <xf numFmtId="0" fontId="32" fillId="0" borderId="27" xfId="0" applyFont="1" applyBorder="1" applyAlignment="1">
      <alignment horizontal="left" vertical="center"/>
    </xf>
    <xf numFmtId="0" fontId="32" fillId="0" borderId="28" xfId="0" applyFont="1" applyBorder="1" applyAlignment="1">
      <alignment horizontal="left" vertical="center"/>
    </xf>
    <xf numFmtId="0" fontId="53" fillId="0" borderId="29" xfId="0" applyFont="1" applyBorder="1" applyAlignment="1">
      <alignment horizontal="left" vertical="center"/>
    </xf>
    <xf numFmtId="3" fontId="0" fillId="0" borderId="28" xfId="0" applyNumberFormat="1" applyBorder="1"/>
    <xf numFmtId="0" fontId="32" fillId="0" borderId="30" xfId="0" applyFont="1" applyBorder="1" applyAlignment="1">
      <alignment horizontal="left" vertical="center"/>
    </xf>
    <xf numFmtId="0" fontId="32" fillId="0" borderId="10" xfId="0" applyFont="1" applyBorder="1" applyAlignment="1">
      <alignment horizontal="left" vertical="center"/>
    </xf>
    <xf numFmtId="0" fontId="53" fillId="0" borderId="31" xfId="0" applyFont="1" applyBorder="1" applyAlignment="1">
      <alignment horizontal="left" vertical="center"/>
    </xf>
    <xf numFmtId="0" fontId="32" fillId="0" borderId="30" xfId="0" applyFont="1" applyFill="1" applyBorder="1" applyAlignment="1">
      <alignment horizontal="left" vertical="center"/>
    </xf>
    <xf numFmtId="0" fontId="32" fillId="0" borderId="10" xfId="0" applyFont="1" applyFill="1" applyBorder="1" applyAlignment="1">
      <alignment horizontal="left" vertical="center"/>
    </xf>
    <xf numFmtId="0" fontId="53" fillId="0" borderId="31" xfId="0" applyFont="1" applyFill="1" applyBorder="1" applyAlignment="1">
      <alignment horizontal="left" vertical="center"/>
    </xf>
    <xf numFmtId="3" fontId="26" fillId="0" borderId="0" xfId="0" applyNumberFormat="1" applyFont="1" applyFill="1" applyAlignment="1">
      <alignment wrapText="1"/>
    </xf>
    <xf numFmtId="3" fontId="0" fillId="0" borderId="15" xfId="0" applyNumberFormat="1" applyFill="1" applyBorder="1"/>
    <xf numFmtId="0" fontId="109" fillId="0" borderId="30" xfId="0" applyFont="1" applyBorder="1" applyAlignment="1">
      <alignment horizontal="center" vertical="center"/>
    </xf>
    <xf numFmtId="0" fontId="109" fillId="0" borderId="10" xfId="0" applyFont="1" applyBorder="1" applyAlignment="1">
      <alignment horizontal="center" vertical="center"/>
    </xf>
    <xf numFmtId="0" fontId="109" fillId="0" borderId="10" xfId="0" applyFont="1" applyBorder="1" applyAlignment="1">
      <alignment horizontal="left" vertical="center"/>
    </xf>
    <xf numFmtId="0" fontId="59" fillId="63" borderId="63" xfId="0" applyFont="1" applyFill="1" applyBorder="1" applyAlignment="1">
      <alignment vertical="center" wrapText="1"/>
    </xf>
    <xf numFmtId="0" fontId="26" fillId="63" borderId="15" xfId="0" applyFont="1" applyFill="1" applyBorder="1"/>
    <xf numFmtId="0" fontId="75" fillId="0" borderId="30" xfId="0" applyFont="1" applyBorder="1" applyAlignment="1">
      <alignment horizontal="center" vertical="center"/>
    </xf>
    <xf numFmtId="0" fontId="75" fillId="0" borderId="10" xfId="0" applyFont="1" applyBorder="1" applyAlignment="1">
      <alignment horizontal="center" vertical="center"/>
    </xf>
    <xf numFmtId="0" fontId="75" fillId="0" borderId="10" xfId="0" applyFont="1" applyBorder="1" applyAlignment="1">
      <alignment horizontal="left" vertical="center"/>
    </xf>
    <xf numFmtId="0" fontId="75" fillId="0" borderId="62" xfId="0" applyFont="1" applyBorder="1" applyAlignment="1">
      <alignment horizontal="center" vertical="center"/>
    </xf>
    <xf numFmtId="0" fontId="75" fillId="0" borderId="0" xfId="0" applyFont="1" applyBorder="1" applyAlignment="1">
      <alignment horizontal="center" vertical="center"/>
    </xf>
    <xf numFmtId="0" fontId="75" fillId="0" borderId="0" xfId="0" applyFont="1" applyBorder="1" applyAlignment="1">
      <alignment horizontal="left" vertical="center"/>
    </xf>
    <xf numFmtId="0" fontId="0" fillId="0" borderId="15" xfId="0" applyBorder="1"/>
    <xf numFmtId="3" fontId="0" fillId="0" borderId="15" xfId="0" applyNumberFormat="1" applyBorder="1"/>
    <xf numFmtId="3" fontId="26" fillId="63" borderId="15" xfId="0" applyNumberFormat="1" applyFont="1" applyFill="1" applyBorder="1"/>
    <xf numFmtId="0" fontId="109" fillId="0" borderId="27" xfId="0" applyFont="1" applyBorder="1" applyAlignment="1">
      <alignment horizontal="center" vertical="center"/>
    </xf>
    <xf numFmtId="0" fontId="109" fillId="0" borderId="28" xfId="0" applyFont="1" applyBorder="1" applyAlignment="1">
      <alignment horizontal="center" vertical="center"/>
    </xf>
    <xf numFmtId="0" fontId="109" fillId="0" borderId="28" xfId="0" applyFont="1" applyBorder="1" applyAlignment="1">
      <alignment horizontal="left" vertical="center"/>
    </xf>
    <xf numFmtId="0" fontId="0" fillId="0" borderId="28" xfId="0" applyBorder="1"/>
    <xf numFmtId="0" fontId="75" fillId="0" borderId="32" xfId="0" applyFont="1" applyBorder="1" applyAlignment="1">
      <alignment horizontal="center" vertical="center"/>
    </xf>
    <xf numFmtId="0" fontId="75" fillId="0" borderId="33" xfId="0" applyFont="1" applyBorder="1" applyAlignment="1">
      <alignment horizontal="center" vertical="center"/>
    </xf>
    <xf numFmtId="0" fontId="75" fillId="0" borderId="33" xfId="0" applyFont="1" applyBorder="1" applyAlignment="1">
      <alignment horizontal="left" vertical="center"/>
    </xf>
    <xf numFmtId="0" fontId="0" fillId="0" borderId="33" xfId="0" applyBorder="1"/>
    <xf numFmtId="3" fontId="0" fillId="0" borderId="33" xfId="0" applyNumberFormat="1" applyBorder="1"/>
    <xf numFmtId="0" fontId="108" fillId="63" borderId="42" xfId="0" applyFont="1" applyFill="1" applyBorder="1" applyAlignment="1">
      <alignment vertical="center" wrapText="1"/>
    </xf>
    <xf numFmtId="0" fontId="26" fillId="63" borderId="52" xfId="0" applyFont="1" applyFill="1" applyBorder="1"/>
    <xf numFmtId="3" fontId="26" fillId="63" borderId="52" xfId="0" applyNumberFormat="1" applyFont="1" applyFill="1" applyBorder="1"/>
    <xf numFmtId="0" fontId="109" fillId="0" borderId="91" xfId="0" applyFont="1" applyBorder="1" applyAlignment="1">
      <alignment horizontal="center" vertical="center"/>
    </xf>
    <xf numFmtId="0" fontId="109" fillId="0" borderId="92" xfId="0" applyFont="1" applyBorder="1" applyAlignment="1">
      <alignment horizontal="center" vertical="center"/>
    </xf>
    <xf numFmtId="0" fontId="109" fillId="0" borderId="93" xfId="0" applyFont="1" applyBorder="1" applyAlignment="1">
      <alignment horizontal="left" vertical="center"/>
    </xf>
    <xf numFmtId="0" fontId="109" fillId="0" borderId="0" xfId="0" applyFont="1" applyAlignment="1">
      <alignment horizontal="left" vertical="center"/>
    </xf>
    <xf numFmtId="0" fontId="109" fillId="0" borderId="62" xfId="0" applyFont="1" applyBorder="1" applyAlignment="1">
      <alignment horizontal="center" vertical="center"/>
    </xf>
    <xf numFmtId="0" fontId="109" fillId="0" borderId="0" xfId="0" applyFont="1" applyAlignment="1">
      <alignment horizontal="center" vertical="center"/>
    </xf>
    <xf numFmtId="0" fontId="109" fillId="0" borderId="63" xfId="0" applyFont="1" applyBorder="1" applyAlignment="1">
      <alignment horizontal="left" vertical="center"/>
    </xf>
    <xf numFmtId="0" fontId="108" fillId="63" borderId="40" xfId="0" applyFont="1" applyFill="1" applyBorder="1" applyAlignment="1">
      <alignment horizontal="center" vertical="center"/>
    </xf>
    <xf numFmtId="0" fontId="108" fillId="63" borderId="41" xfId="0" applyFont="1" applyFill="1" applyBorder="1" applyAlignment="1">
      <alignment horizontal="center" vertical="center"/>
    </xf>
    <xf numFmtId="0" fontId="108" fillId="63" borderId="42" xfId="0" applyFont="1" applyFill="1" applyBorder="1" applyAlignment="1">
      <alignment horizontal="left" vertical="center"/>
    </xf>
    <xf numFmtId="0" fontId="108" fillId="63" borderId="44" xfId="0" applyFont="1" applyFill="1" applyBorder="1" applyAlignment="1">
      <alignment horizontal="left" vertical="center"/>
    </xf>
    <xf numFmtId="0" fontId="109" fillId="0" borderId="0" xfId="0" applyFont="1" applyBorder="1" applyAlignment="1">
      <alignment horizontal="left" vertical="center"/>
    </xf>
    <xf numFmtId="0" fontId="59" fillId="38" borderId="73" xfId="0" applyFont="1" applyFill="1" applyBorder="1" applyAlignment="1">
      <alignment vertical="center" wrapText="1"/>
    </xf>
    <xf numFmtId="3" fontId="26" fillId="38" borderId="38" xfId="0" applyNumberFormat="1" applyFont="1" applyFill="1" applyBorder="1"/>
    <xf numFmtId="0" fontId="110" fillId="0" borderId="22" xfId="0" applyFont="1" applyBorder="1"/>
    <xf numFmtId="0" fontId="32" fillId="0" borderId="23" xfId="0" applyFont="1" applyBorder="1"/>
    <xf numFmtId="3" fontId="32" fillId="0" borderId="23" xfId="0" applyNumberFormat="1" applyFont="1" applyBorder="1"/>
    <xf numFmtId="3" fontId="32" fillId="0" borderId="44" xfId="0" applyNumberFormat="1" applyFont="1" applyBorder="1"/>
    <xf numFmtId="3" fontId="32" fillId="0" borderId="0" xfId="0" applyNumberFormat="1" applyFont="1"/>
    <xf numFmtId="0" fontId="111" fillId="0" borderId="51" xfId="0" applyFont="1" applyBorder="1" applyAlignment="1">
      <alignment vertical="center"/>
    </xf>
    <xf numFmtId="3" fontId="111" fillId="0" borderId="52" xfId="0" applyNumberFormat="1" applyFont="1" applyBorder="1" applyAlignment="1">
      <alignment horizontal="center" vertical="center" wrapText="1"/>
    </xf>
    <xf numFmtId="3" fontId="111" fillId="0" borderId="53" xfId="0" applyNumberFormat="1" applyFont="1" applyBorder="1" applyAlignment="1">
      <alignment horizontal="center" vertical="center"/>
    </xf>
    <xf numFmtId="0" fontId="32" fillId="0" borderId="77" xfId="0" applyFont="1" applyBorder="1"/>
    <xf numFmtId="3" fontId="32" fillId="0" borderId="46" xfId="0" applyNumberFormat="1" applyFont="1" applyBorder="1"/>
    <xf numFmtId="3" fontId="32" fillId="0" borderId="31" xfId="0" applyNumberFormat="1" applyFont="1" applyBorder="1"/>
    <xf numFmtId="3" fontId="50" fillId="0" borderId="53" xfId="0" applyNumberFormat="1" applyFont="1" applyBorder="1"/>
    <xf numFmtId="3" fontId="50" fillId="0" borderId="0" xfId="0" applyNumberFormat="1" applyFont="1"/>
    <xf numFmtId="0" fontId="50" fillId="0" borderId="23" xfId="56" applyFont="1" applyBorder="1"/>
    <xf numFmtId="0" fontId="50" fillId="0" borderId="0" xfId="56" applyFont="1"/>
    <xf numFmtId="0" fontId="111" fillId="0" borderId="10" xfId="0" applyFont="1" applyBorder="1" applyAlignment="1">
      <alignment vertical="center"/>
    </xf>
    <xf numFmtId="0" fontId="111" fillId="0" borderId="10" xfId="0" applyFont="1" applyBorder="1" applyAlignment="1">
      <alignment horizontal="center" vertical="center"/>
    </xf>
    <xf numFmtId="0" fontId="51" fillId="0" borderId="14" xfId="0" applyFont="1" applyBorder="1" applyAlignment="1">
      <alignment horizontal="center" vertical="center"/>
    </xf>
    <xf numFmtId="0" fontId="51" fillId="0" borderId="10" xfId="0" applyFont="1" applyBorder="1" applyAlignment="1">
      <alignment horizontal="center" vertical="center"/>
    </xf>
    <xf numFmtId="0" fontId="32" fillId="0" borderId="0" xfId="56" applyFont="1"/>
    <xf numFmtId="0" fontId="111" fillId="0" borderId="51" xfId="56" applyFont="1" applyBorder="1" applyAlignment="1">
      <alignment vertical="center"/>
    </xf>
    <xf numFmtId="0" fontId="111" fillId="0" borderId="52" xfId="56" applyFont="1" applyBorder="1" applyAlignment="1">
      <alignment horizontal="center" vertical="center" wrapText="1"/>
    </xf>
    <xf numFmtId="0" fontId="111" fillId="0" borderId="53" xfId="56" applyFont="1" applyBorder="1" applyAlignment="1">
      <alignment horizontal="center" vertical="center"/>
    </xf>
    <xf numFmtId="0" fontId="32" fillId="0" borderId="14" xfId="56" applyFont="1" applyBorder="1"/>
    <xf numFmtId="0" fontId="110" fillId="0" borderId="58" xfId="56" applyFont="1" applyBorder="1"/>
    <xf numFmtId="0" fontId="32" fillId="0" borderId="11" xfId="56" applyFont="1" applyBorder="1"/>
    <xf numFmtId="0" fontId="32" fillId="0" borderId="59" xfId="56" applyFont="1" applyBorder="1"/>
    <xf numFmtId="171" fontId="111" fillId="0" borderId="52" xfId="56" applyNumberFormat="1" applyFont="1" applyBorder="1"/>
    <xf numFmtId="0" fontId="111" fillId="0" borderId="0" xfId="56" applyFont="1"/>
    <xf numFmtId="0" fontId="110" fillId="0" borderId="0" xfId="56" applyFont="1"/>
    <xf numFmtId="0" fontId="111" fillId="0" borderId="52" xfId="56" applyFont="1" applyBorder="1" applyAlignment="1">
      <alignment vertical="center"/>
    </xf>
    <xf numFmtId="0" fontId="32" fillId="0" borderId="77" xfId="0" applyFont="1" applyBorder="1" applyAlignment="1">
      <alignment vertical="center" wrapText="1"/>
    </xf>
    <xf numFmtId="0" fontId="32" fillId="0" borderId="14" xfId="0" applyFont="1" applyBorder="1" applyAlignment="1">
      <alignment vertical="center" wrapText="1"/>
    </xf>
    <xf numFmtId="0" fontId="32" fillId="0" borderId="14" xfId="0" applyFont="1" applyBorder="1" applyAlignment="1">
      <alignment horizontal="center" vertical="center" wrapText="1"/>
    </xf>
    <xf numFmtId="3" fontId="32" fillId="0" borderId="14" xfId="0" applyNumberFormat="1" applyFont="1" applyBorder="1" applyAlignment="1">
      <alignment vertical="center" wrapText="1"/>
    </xf>
    <xf numFmtId="0" fontId="32" fillId="0" borderId="46" xfId="56" applyFont="1" applyBorder="1"/>
    <xf numFmtId="0" fontId="32" fillId="0" borderId="53" xfId="56" applyFont="1" applyBorder="1"/>
    <xf numFmtId="0" fontId="50" fillId="0" borderId="0" xfId="56" applyFont="1" applyAlignment="1">
      <alignment horizontal="left"/>
    </xf>
    <xf numFmtId="0" fontId="110" fillId="0" borderId="77" xfId="56" applyFont="1" applyBorder="1"/>
    <xf numFmtId="0" fontId="110" fillId="0" borderId="14" xfId="56" applyFont="1" applyBorder="1"/>
    <xf numFmtId="0" fontId="110" fillId="0" borderId="11" xfId="56" applyFont="1" applyBorder="1"/>
    <xf numFmtId="171" fontId="50" fillId="0" borderId="55" xfId="56" applyNumberFormat="1" applyFont="1" applyBorder="1" applyAlignment="1">
      <alignment vertical="center"/>
    </xf>
    <xf numFmtId="3" fontId="111" fillId="0" borderId="13" xfId="0" applyNumberFormat="1" applyFont="1" applyBorder="1" applyAlignment="1">
      <alignment horizontal="center" vertical="center" wrapText="1"/>
    </xf>
    <xf numFmtId="3" fontId="51" fillId="0" borderId="16" xfId="0" applyNumberFormat="1" applyFont="1" applyBorder="1" applyAlignment="1">
      <alignment horizontal="right" vertical="center" wrapText="1"/>
    </xf>
    <xf numFmtId="3" fontId="51" fillId="0" borderId="13" xfId="0" applyNumberFormat="1" applyFont="1" applyBorder="1" applyAlignment="1">
      <alignment horizontal="right" vertical="center" wrapText="1"/>
    </xf>
    <xf numFmtId="0" fontId="31" fillId="0" borderId="77" xfId="0" applyFont="1" applyBorder="1" applyAlignment="1">
      <alignment vertical="center"/>
    </xf>
    <xf numFmtId="0" fontId="31" fillId="38" borderId="14" xfId="0" applyFont="1" applyFill="1" applyBorder="1" applyAlignment="1">
      <alignment vertical="center"/>
    </xf>
    <xf numFmtId="3" fontId="31" fillId="38" borderId="14" xfId="0" applyNumberFormat="1" applyFont="1" applyFill="1" applyBorder="1" applyAlignment="1">
      <alignment vertical="center"/>
    </xf>
    <xf numFmtId="0" fontId="31" fillId="38" borderId="46" xfId="0" applyFont="1" applyFill="1" applyBorder="1" applyAlignment="1">
      <alignment vertical="center"/>
    </xf>
    <xf numFmtId="0" fontId="31" fillId="0" borderId="14" xfId="0" applyFont="1" applyBorder="1" applyAlignment="1">
      <alignment vertical="center"/>
    </xf>
    <xf numFmtId="3" fontId="31" fillId="0" borderId="14" xfId="0" applyNumberFormat="1" applyFont="1" applyBorder="1" applyAlignment="1">
      <alignment vertical="center"/>
    </xf>
    <xf numFmtId="0" fontId="31" fillId="0" borderId="46" xfId="0" applyFont="1" applyBorder="1" applyAlignment="1">
      <alignment vertical="center"/>
    </xf>
    <xf numFmtId="0" fontId="31" fillId="0" borderId="30" xfId="0" applyFont="1" applyBorder="1" applyAlignment="1">
      <alignment vertical="center"/>
    </xf>
    <xf numFmtId="3" fontId="31" fillId="38" borderId="10" xfId="0" applyNumberFormat="1" applyFont="1" applyFill="1" applyBorder="1" applyAlignment="1">
      <alignment vertical="center"/>
    </xf>
    <xf numFmtId="0" fontId="31" fillId="38" borderId="31" xfId="0" applyFont="1" applyFill="1" applyBorder="1" applyAlignment="1">
      <alignment vertical="center"/>
    </xf>
    <xf numFmtId="0" fontId="31" fillId="0" borderId="10" xfId="0" applyFont="1" applyBorder="1" applyAlignment="1">
      <alignment vertical="center"/>
    </xf>
    <xf numFmtId="3" fontId="31" fillId="0" borderId="10" xfId="0" applyNumberFormat="1" applyFont="1" applyBorder="1" applyAlignment="1">
      <alignment vertical="center"/>
    </xf>
    <xf numFmtId="0" fontId="31" fillId="0" borderId="31" xfId="0" applyFont="1" applyBorder="1" applyAlignment="1">
      <alignment vertical="center"/>
    </xf>
    <xf numFmtId="0" fontId="31" fillId="0" borderId="10" xfId="0" applyFont="1" applyFill="1" applyBorder="1" applyAlignment="1">
      <alignment vertical="center"/>
    </xf>
    <xf numFmtId="3" fontId="31" fillId="0" borderId="10" xfId="0" applyNumberFormat="1" applyFont="1" applyFill="1" applyBorder="1" applyAlignment="1">
      <alignment vertical="center"/>
    </xf>
    <xf numFmtId="3" fontId="31" fillId="0" borderId="14" xfId="0" applyNumberFormat="1" applyFont="1" applyFill="1" applyBorder="1" applyAlignment="1">
      <alignment vertical="center"/>
    </xf>
    <xf numFmtId="0" fontId="31" fillId="0" borderId="31" xfId="0" applyFont="1" applyFill="1" applyBorder="1" applyAlignment="1">
      <alignment vertical="center"/>
    </xf>
    <xf numFmtId="0" fontId="31" fillId="0" borderId="58" xfId="0" applyFont="1" applyBorder="1" applyAlignment="1">
      <alignment vertical="center"/>
    </xf>
    <xf numFmtId="0" fontId="31" fillId="0" borderId="11" xfId="0" applyFont="1" applyFill="1" applyBorder="1" applyAlignment="1">
      <alignment vertical="center"/>
    </xf>
    <xf numFmtId="3" fontId="31" fillId="0" borderId="11" xfId="0" applyNumberFormat="1" applyFont="1" applyFill="1" applyBorder="1" applyAlignment="1">
      <alignment vertical="center"/>
    </xf>
    <xf numFmtId="0" fontId="31" fillId="0" borderId="59" xfId="0" applyFont="1" applyFill="1" applyBorder="1" applyAlignment="1">
      <alignment vertical="center"/>
    </xf>
    <xf numFmtId="0" fontId="31" fillId="57" borderId="10" xfId="0" applyFont="1" applyFill="1" applyBorder="1" applyAlignment="1">
      <alignment vertical="center"/>
    </xf>
    <xf numFmtId="0" fontId="31" fillId="57" borderId="11" xfId="0" applyFont="1" applyFill="1" applyBorder="1" applyAlignment="1">
      <alignment vertical="center"/>
    </xf>
    <xf numFmtId="0" fontId="31" fillId="57" borderId="11" xfId="0" applyFont="1" applyFill="1" applyBorder="1" applyAlignment="1">
      <alignment vertical="center" wrapText="1"/>
    </xf>
    <xf numFmtId="3" fontId="31" fillId="57" borderId="14" xfId="0" applyNumberFormat="1" applyFont="1" applyFill="1" applyBorder="1" applyAlignment="1">
      <alignment vertical="center"/>
    </xf>
    <xf numFmtId="0" fontId="31" fillId="57" borderId="14" xfId="0" applyFont="1" applyFill="1" applyBorder="1" applyAlignment="1">
      <alignment vertical="center"/>
    </xf>
    <xf numFmtId="0" fontId="31" fillId="57" borderId="59" xfId="0" applyFont="1" applyFill="1" applyBorder="1" applyAlignment="1">
      <alignment vertical="center"/>
    </xf>
    <xf numFmtId="0" fontId="79" fillId="0" borderId="51" xfId="0" applyFont="1" applyBorder="1" applyAlignment="1">
      <alignment vertical="center"/>
    </xf>
    <xf numFmtId="0" fontId="79" fillId="0" borderId="52" xfId="0" applyFont="1" applyBorder="1" applyAlignment="1">
      <alignment vertical="center"/>
    </xf>
    <xf numFmtId="3" fontId="80" fillId="0" borderId="52" xfId="0" applyNumberFormat="1" applyFont="1" applyBorder="1" applyAlignment="1">
      <alignment vertical="center"/>
    </xf>
    <xf numFmtId="0" fontId="80" fillId="0" borderId="52" xfId="0" applyFont="1" applyBorder="1" applyAlignment="1">
      <alignment vertical="center"/>
    </xf>
    <xf numFmtId="0" fontId="79" fillId="0" borderId="53" xfId="0" applyFont="1" applyBorder="1" applyAlignment="1">
      <alignment vertical="center"/>
    </xf>
    <xf numFmtId="0" fontId="79" fillId="0" borderId="0" xfId="0" applyFont="1" applyAlignment="1">
      <alignment vertical="center"/>
    </xf>
    <xf numFmtId="0" fontId="32" fillId="0" borderId="96" xfId="0" applyFont="1" applyBorder="1"/>
    <xf numFmtId="0" fontId="51" fillId="0" borderId="11" xfId="0" applyFont="1" applyBorder="1" applyAlignment="1">
      <alignment horizontal="center" vertical="center"/>
    </xf>
    <xf numFmtId="3" fontId="51" fillId="0" borderId="97" xfId="0" applyNumberFormat="1" applyFont="1" applyBorder="1" applyAlignment="1">
      <alignment horizontal="right" vertical="center" wrapText="1"/>
    </xf>
    <xf numFmtId="3" fontId="111" fillId="38" borderId="76" xfId="0" applyNumberFormat="1" applyFont="1" applyFill="1" applyBorder="1"/>
    <xf numFmtId="3" fontId="50" fillId="38" borderId="55" xfId="0" applyNumberFormat="1" applyFont="1" applyFill="1" applyBorder="1" applyAlignment="1">
      <alignment horizontal="center" vertical="center"/>
    </xf>
    <xf numFmtId="0" fontId="50" fillId="0" borderId="0" xfId="56" applyFont="1" applyBorder="1" applyAlignment="1">
      <alignment vertical="center"/>
    </xf>
    <xf numFmtId="0" fontId="79" fillId="0" borderId="0" xfId="56" applyFont="1" applyBorder="1" applyAlignment="1">
      <alignment vertical="center"/>
    </xf>
    <xf numFmtId="3" fontId="32" fillId="63" borderId="43" xfId="0" applyNumberFormat="1" applyFont="1" applyFill="1" applyBorder="1"/>
    <xf numFmtId="3" fontId="50" fillId="63" borderId="50" xfId="0" applyNumberFormat="1" applyFont="1" applyFill="1" applyBorder="1" applyAlignment="1">
      <alignment horizontal="center" vertical="center"/>
    </xf>
    <xf numFmtId="3" fontId="50" fillId="63" borderId="49" xfId="0" applyNumberFormat="1" applyFont="1" applyFill="1" applyBorder="1" applyAlignment="1">
      <alignment horizontal="center" vertical="center"/>
    </xf>
    <xf numFmtId="3" fontId="50" fillId="63" borderId="45" xfId="0" applyNumberFormat="1" applyFont="1" applyFill="1" applyBorder="1" applyAlignment="1">
      <alignment horizontal="center" vertical="center"/>
    </xf>
    <xf numFmtId="3" fontId="32" fillId="63" borderId="14" xfId="0" applyNumberFormat="1" applyFont="1" applyFill="1" applyBorder="1"/>
    <xf numFmtId="3" fontId="32" fillId="63" borderId="10" xfId="0" applyNumberFormat="1" applyFont="1" applyFill="1" applyBorder="1"/>
    <xf numFmtId="3" fontId="50" fillId="63" borderId="52" xfId="0" applyNumberFormat="1" applyFont="1" applyFill="1" applyBorder="1"/>
    <xf numFmtId="0" fontId="48" fillId="0" borderId="0" xfId="62" applyFont="1"/>
    <xf numFmtId="0" fontId="32" fillId="0" borderId="0" xfId="62" applyFont="1"/>
    <xf numFmtId="0" fontId="50" fillId="38" borderId="54" xfId="0" applyFont="1" applyFill="1" applyBorder="1" applyAlignment="1">
      <alignment horizontal="center" vertical="center" wrapText="1"/>
    </xf>
    <xf numFmtId="0" fontId="50" fillId="38" borderId="52" xfId="0" applyFont="1" applyFill="1" applyBorder="1" applyAlignment="1">
      <alignment horizontal="center" vertical="center" wrapText="1"/>
    </xf>
    <xf numFmtId="0" fontId="50" fillId="38" borderId="55" xfId="0" applyFont="1" applyFill="1" applyBorder="1" applyAlignment="1">
      <alignment vertical="center" wrapText="1"/>
    </xf>
    <xf numFmtId="0" fontId="32" fillId="0" borderId="0" xfId="0" applyFont="1" applyAlignment="1">
      <alignment vertical="center" wrapText="1"/>
    </xf>
    <xf numFmtId="0" fontId="32" fillId="0" borderId="15" xfId="0" applyFont="1" applyBorder="1" applyAlignment="1">
      <alignment horizontal="center" vertical="center" wrapText="1"/>
    </xf>
    <xf numFmtId="0" fontId="32" fillId="0" borderId="0" xfId="0" applyFont="1"/>
    <xf numFmtId="0" fontId="50" fillId="67" borderId="27" xfId="0" applyFont="1" applyFill="1" applyBorder="1" applyAlignment="1">
      <alignment horizontal="center" vertical="center" wrapText="1"/>
    </xf>
    <xf numFmtId="0" fontId="50" fillId="67" borderId="28" xfId="0" applyFont="1" applyFill="1" applyBorder="1" applyAlignment="1">
      <alignment horizontal="center" vertical="center" wrapText="1"/>
    </xf>
    <xf numFmtId="0" fontId="50" fillId="68" borderId="29" xfId="0" applyFont="1" applyFill="1" applyBorder="1" applyAlignment="1">
      <alignment horizontal="center" vertical="center" wrapText="1"/>
    </xf>
    <xf numFmtId="0" fontId="50" fillId="36" borderId="30" xfId="0" applyFont="1" applyFill="1" applyBorder="1" applyAlignment="1">
      <alignment horizontal="center" vertical="center" wrapText="1"/>
    </xf>
    <xf numFmtId="0" fontId="50" fillId="67" borderId="10" xfId="0" applyFont="1" applyFill="1" applyBorder="1" applyAlignment="1">
      <alignment horizontal="center" vertical="center" wrapText="1"/>
    </xf>
    <xf numFmtId="0" fontId="50" fillId="67" borderId="31" xfId="0" applyFont="1" applyFill="1" applyBorder="1" applyAlignment="1">
      <alignment horizontal="center" vertical="center" wrapText="1"/>
    </xf>
    <xf numFmtId="0" fontId="50" fillId="65" borderId="32" xfId="0" applyFont="1" applyFill="1" applyBorder="1" applyAlignment="1">
      <alignment horizontal="center" vertical="center" wrapText="1"/>
    </xf>
    <xf numFmtId="0" fontId="50" fillId="36" borderId="33" xfId="0" applyFont="1" applyFill="1" applyBorder="1" applyAlignment="1">
      <alignment horizontal="center" vertical="center" wrapText="1"/>
    </xf>
    <xf numFmtId="0" fontId="50" fillId="36" borderId="34" xfId="0" applyFont="1" applyFill="1" applyBorder="1" applyAlignment="1">
      <alignment horizontal="center" vertical="center" wrapText="1"/>
    </xf>
    <xf numFmtId="0" fontId="113" fillId="0" borderId="0" xfId="56" applyFont="1"/>
    <xf numFmtId="0" fontId="33" fillId="0" borderId="0" xfId="56" applyFont="1"/>
    <xf numFmtId="0" fontId="50" fillId="0" borderId="0" xfId="0" applyFont="1" applyFill="1" applyBorder="1" applyAlignment="1">
      <alignment horizontal="left"/>
    </xf>
    <xf numFmtId="3" fontId="111" fillId="0" borderId="0" xfId="0" applyNumberFormat="1" applyFont="1" applyFill="1" applyBorder="1"/>
    <xf numFmtId="3" fontId="50" fillId="0" borderId="0" xfId="0" applyNumberFormat="1" applyFont="1" applyFill="1" applyBorder="1" applyAlignment="1">
      <alignment horizontal="center" vertical="center"/>
    </xf>
    <xf numFmtId="0" fontId="50" fillId="0" borderId="0" xfId="56" applyFont="1" applyFill="1" applyBorder="1" applyAlignment="1">
      <alignment vertical="center"/>
    </xf>
    <xf numFmtId="0" fontId="79" fillId="0" borderId="0" xfId="56" applyFont="1" applyFill="1" applyBorder="1" applyAlignment="1">
      <alignment vertical="center"/>
    </xf>
    <xf numFmtId="171" fontId="111" fillId="38" borderId="52" xfId="56" applyNumberFormat="1" applyFont="1" applyFill="1" applyBorder="1"/>
    <xf numFmtId="171" fontId="50" fillId="38" borderId="52" xfId="56" applyNumberFormat="1" applyFont="1" applyFill="1" applyBorder="1"/>
    <xf numFmtId="0" fontId="48" fillId="0" borderId="0" xfId="0" applyFont="1" applyAlignment="1">
      <alignment vertical="center"/>
    </xf>
    <xf numFmtId="0" fontId="32" fillId="0" borderId="0" xfId="57" applyFont="1"/>
    <xf numFmtId="0" fontId="50" fillId="0" borderId="29" xfId="0" applyFont="1" applyBorder="1" applyAlignment="1">
      <alignment vertical="center" wrapText="1"/>
    </xf>
    <xf numFmtId="0" fontId="50" fillId="0" borderId="31" xfId="0" applyFont="1" applyBorder="1" applyAlignment="1">
      <alignment horizontal="center" vertical="center" wrapText="1"/>
    </xf>
    <xf numFmtId="0" fontId="50" fillId="0" borderId="84" xfId="0" applyFont="1" applyBorder="1" applyAlignment="1">
      <alignment vertical="center" wrapText="1"/>
    </xf>
    <xf numFmtId="0" fontId="32" fillId="0" borderId="48" xfId="0" applyFont="1" applyBorder="1" applyAlignment="1">
      <alignment horizontal="center"/>
    </xf>
    <xf numFmtId="0" fontId="32" fillId="0" borderId="33" xfId="0" applyFont="1" applyBorder="1" applyAlignment="1">
      <alignment horizontal="center"/>
    </xf>
    <xf numFmtId="0" fontId="32" fillId="0" borderId="61" xfId="0" applyFont="1" applyBorder="1" applyAlignment="1">
      <alignment horizontal="center"/>
    </xf>
    <xf numFmtId="0" fontId="32" fillId="0" borderId="32" xfId="0" applyFont="1" applyBorder="1" applyAlignment="1">
      <alignment horizontal="center"/>
    </xf>
    <xf numFmtId="0" fontId="32" fillId="0" borderId="34" xfId="0" applyFont="1" applyBorder="1" applyAlignment="1">
      <alignment horizontal="center"/>
    </xf>
    <xf numFmtId="0" fontId="32" fillId="0" borderId="82" xfId="0" applyFont="1" applyBorder="1" applyAlignment="1">
      <alignment horizontal="center"/>
    </xf>
    <xf numFmtId="0" fontId="50" fillId="38" borderId="49" xfId="0" applyFont="1" applyFill="1" applyBorder="1" applyAlignment="1">
      <alignment vertical="center"/>
    </xf>
    <xf numFmtId="0" fontId="32" fillId="38" borderId="12" xfId="0" applyFont="1" applyFill="1" applyBorder="1"/>
    <xf numFmtId="0" fontId="32" fillId="38" borderId="14" xfId="0" applyFont="1" applyFill="1" applyBorder="1"/>
    <xf numFmtId="0" fontId="32" fillId="38" borderId="16" xfId="0" applyFont="1" applyFill="1" applyBorder="1"/>
    <xf numFmtId="0" fontId="32" fillId="38" borderId="77" xfId="0" applyFont="1" applyFill="1" applyBorder="1"/>
    <xf numFmtId="0" fontId="32" fillId="38" borderId="80" xfId="0" applyFont="1" applyFill="1" applyBorder="1"/>
    <xf numFmtId="0" fontId="32" fillId="0" borderId="49" xfId="0" applyFont="1" applyBorder="1" applyAlignment="1">
      <alignment horizontal="left" vertical="center"/>
    </xf>
    <xf numFmtId="0" fontId="32" fillId="0" borderId="12" xfId="0" applyFont="1" applyBorder="1"/>
    <xf numFmtId="0" fontId="32" fillId="0" borderId="14" xfId="0" applyFont="1" applyBorder="1"/>
    <xf numFmtId="0" fontId="32" fillId="0" borderId="16" xfId="0" applyFont="1" applyBorder="1"/>
    <xf numFmtId="0" fontId="32" fillId="0" borderId="80" xfId="0" applyFont="1" applyBorder="1"/>
    <xf numFmtId="0" fontId="32" fillId="0" borderId="80" xfId="0" applyFont="1" applyFill="1" applyBorder="1"/>
    <xf numFmtId="0" fontId="51" fillId="0" borderId="0" xfId="57" applyFont="1"/>
    <xf numFmtId="0" fontId="50" fillId="38" borderId="49" xfId="0" applyFont="1" applyFill="1" applyBorder="1" applyAlignment="1">
      <alignment vertical="center" wrapText="1"/>
    </xf>
    <xf numFmtId="0" fontId="50" fillId="38" borderId="50" xfId="0" applyFont="1" applyFill="1" applyBorder="1" applyAlignment="1">
      <alignment vertical="center"/>
    </xf>
    <xf numFmtId="0" fontId="32" fillId="38" borderId="20" xfId="0" applyFont="1" applyFill="1" applyBorder="1"/>
    <xf numFmtId="0" fontId="32" fillId="38" borderId="19" xfId="0" applyFont="1" applyFill="1" applyBorder="1"/>
    <xf numFmtId="0" fontId="32" fillId="38" borderId="30" xfId="0" applyFont="1" applyFill="1" applyBorder="1"/>
    <xf numFmtId="0" fontId="32" fillId="38" borderId="103" xfId="0" applyFont="1" applyFill="1" applyBorder="1"/>
    <xf numFmtId="0" fontId="112" fillId="0" borderId="10" xfId="0" applyFont="1" applyBorder="1"/>
    <xf numFmtId="0" fontId="32" fillId="0" borderId="70" xfId="0" applyFont="1" applyBorder="1"/>
    <xf numFmtId="0" fontId="32" fillId="0" borderId="11" xfId="0" applyFont="1" applyBorder="1"/>
    <xf numFmtId="0" fontId="32" fillId="0" borderId="97" xfId="0" applyFont="1" applyBorder="1"/>
    <xf numFmtId="0" fontId="32" fillId="0" borderId="58" xfId="0" applyFont="1" applyBorder="1"/>
    <xf numFmtId="0" fontId="32" fillId="0" borderId="102" xfId="0" applyFont="1" applyBorder="1"/>
    <xf numFmtId="0" fontId="50" fillId="38" borderId="57" xfId="0" applyFont="1" applyFill="1" applyBorder="1" applyAlignment="1">
      <alignment vertical="center" wrapText="1"/>
    </xf>
    <xf numFmtId="0" fontId="32" fillId="38" borderId="70" xfId="0" applyFont="1" applyFill="1" applyBorder="1"/>
    <xf numFmtId="0" fontId="32" fillId="38" borderId="11" xfId="0" applyFont="1" applyFill="1" applyBorder="1"/>
    <xf numFmtId="0" fontId="32" fillId="38" borderId="97" xfId="0" applyFont="1" applyFill="1" applyBorder="1"/>
    <xf numFmtId="0" fontId="32" fillId="38" borderId="32" xfId="0" applyFont="1" applyFill="1" applyBorder="1"/>
    <xf numFmtId="0" fontId="32" fillId="38" borderId="82" xfId="0" applyFont="1" applyFill="1" applyBorder="1"/>
    <xf numFmtId="0" fontId="32" fillId="38" borderId="102" xfId="0" applyFont="1" applyFill="1" applyBorder="1"/>
    <xf numFmtId="0" fontId="32" fillId="0" borderId="54" xfId="0" applyFont="1" applyBorder="1"/>
    <xf numFmtId="0" fontId="32" fillId="0" borderId="0" xfId="57" applyFont="1" applyAlignment="1">
      <alignment vertical="center"/>
    </xf>
    <xf numFmtId="0" fontId="50" fillId="0" borderId="0" xfId="57" applyFont="1"/>
    <xf numFmtId="0" fontId="50" fillId="63" borderId="101" xfId="0" applyFont="1" applyFill="1" applyBorder="1"/>
    <xf numFmtId="0" fontId="50" fillId="63" borderId="78" xfId="0" applyFont="1" applyFill="1" applyBorder="1"/>
    <xf numFmtId="0" fontId="50" fillId="63" borderId="37" xfId="0" applyFont="1" applyFill="1" applyBorder="1"/>
    <xf numFmtId="0" fontId="50" fillId="63" borderId="73" xfId="0" applyFont="1" applyFill="1" applyBorder="1"/>
    <xf numFmtId="0" fontId="50" fillId="63" borderId="72" xfId="0" applyFont="1" applyFill="1" applyBorder="1" applyAlignment="1">
      <alignment horizontal="left" vertical="center"/>
    </xf>
    <xf numFmtId="0" fontId="48" fillId="0" borderId="0" xfId="0" applyFont="1"/>
    <xf numFmtId="0" fontId="50" fillId="0" borderId="49" xfId="0" applyFont="1" applyBorder="1" applyAlignment="1">
      <alignment vertical="center"/>
    </xf>
    <xf numFmtId="0" fontId="32" fillId="38" borderId="46" xfId="0" applyFont="1" applyFill="1" applyBorder="1"/>
    <xf numFmtId="0" fontId="32" fillId="38" borderId="17" xfId="0" applyFont="1" applyFill="1" applyBorder="1"/>
    <xf numFmtId="0" fontId="32" fillId="38" borderId="64" xfId="0" applyFont="1" applyFill="1" applyBorder="1"/>
    <xf numFmtId="0" fontId="32" fillId="0" borderId="59" xfId="0" applyFont="1" applyBorder="1"/>
    <xf numFmtId="0" fontId="32" fillId="0" borderId="21" xfId="0" applyFont="1" applyBorder="1"/>
    <xf numFmtId="0" fontId="32" fillId="0" borderId="99" xfId="0" applyFont="1" applyBorder="1"/>
    <xf numFmtId="0" fontId="50" fillId="0" borderId="57" xfId="0" applyFont="1" applyBorder="1" applyAlignment="1">
      <alignment vertical="center" wrapText="1"/>
    </xf>
    <xf numFmtId="0" fontId="32" fillId="0" borderId="52" xfId="0" applyFont="1" applyBorder="1"/>
    <xf numFmtId="0" fontId="32" fillId="0" borderId="53" xfId="0" applyFont="1" applyBorder="1"/>
    <xf numFmtId="0" fontId="32" fillId="0" borderId="41" xfId="0" applyFont="1" applyBorder="1"/>
    <xf numFmtId="0" fontId="32" fillId="0" borderId="100" xfId="0" applyFont="1" applyBorder="1"/>
    <xf numFmtId="0" fontId="32" fillId="0" borderId="46" xfId="0" applyFont="1" applyBorder="1"/>
    <xf numFmtId="0" fontId="32" fillId="0" borderId="17" xfId="0" applyFont="1" applyBorder="1"/>
    <xf numFmtId="0" fontId="32" fillId="0" borderId="64" xfId="0" applyFont="1" applyBorder="1"/>
    <xf numFmtId="0" fontId="32" fillId="63" borderId="12" xfId="0" applyFont="1" applyFill="1" applyBorder="1"/>
    <xf numFmtId="0" fontId="50" fillId="38" borderId="50" xfId="0" applyFont="1" applyFill="1" applyBorder="1" applyAlignment="1">
      <alignment vertical="center" wrapText="1"/>
    </xf>
    <xf numFmtId="0" fontId="32" fillId="38" borderId="10" xfId="0" applyFont="1" applyFill="1" applyBorder="1"/>
    <xf numFmtId="0" fontId="32" fillId="38" borderId="31" xfId="0" applyFont="1" applyFill="1" applyBorder="1"/>
    <xf numFmtId="0" fontId="32" fillId="38" borderId="65" xfId="0" applyFont="1" applyFill="1" applyBorder="1"/>
    <xf numFmtId="0" fontId="50" fillId="0" borderId="0" xfId="0" applyFont="1"/>
    <xf numFmtId="3" fontId="60" fillId="0" borderId="0" xfId="42" applyNumberFormat="1" applyFont="1" applyBorder="1"/>
    <xf numFmtId="0" fontId="50" fillId="0" borderId="72" xfId="0" applyFont="1" applyBorder="1" applyAlignment="1">
      <alignment horizontal="center" vertical="center" wrapText="1"/>
    </xf>
    <xf numFmtId="0" fontId="50" fillId="38" borderId="42" xfId="0" applyFont="1" applyFill="1" applyBorder="1" applyAlignment="1">
      <alignment horizontal="center" vertical="center" wrapText="1"/>
    </xf>
    <xf numFmtId="0" fontId="50" fillId="38" borderId="76" xfId="0" applyFont="1" applyFill="1" applyBorder="1" applyAlignment="1">
      <alignment horizontal="center" vertical="center" wrapText="1"/>
    </xf>
    <xf numFmtId="0" fontId="32" fillId="0" borderId="96" xfId="0" applyFont="1" applyBorder="1" applyAlignment="1">
      <alignment horizontal="center" vertical="center" wrapText="1"/>
    </xf>
    <xf numFmtId="0" fontId="32" fillId="0" borderId="18" xfId="0" applyFont="1" applyBorder="1" applyAlignment="1">
      <alignment vertical="center" wrapText="1"/>
    </xf>
    <xf numFmtId="0" fontId="32" fillId="0" borderId="71" xfId="0" applyFont="1" applyBorder="1" applyAlignment="1">
      <alignment vertical="center" wrapText="1"/>
    </xf>
    <xf numFmtId="0" fontId="32" fillId="0" borderId="51" xfId="0" applyFont="1" applyBorder="1" applyAlignment="1">
      <alignment horizontal="center" vertical="center" wrapText="1"/>
    </xf>
    <xf numFmtId="0" fontId="32" fillId="0" borderId="54" xfId="0" applyFont="1" applyBorder="1" applyAlignment="1">
      <alignment vertical="center" wrapText="1"/>
    </xf>
    <xf numFmtId="0" fontId="32" fillId="0" borderId="52" xfId="0" applyFont="1" applyFill="1" applyBorder="1" applyAlignment="1">
      <alignment horizontal="center" vertical="center" wrapText="1"/>
    </xf>
    <xf numFmtId="0" fontId="32" fillId="0" borderId="52" xfId="0" applyFont="1" applyBorder="1" applyAlignment="1">
      <alignment horizontal="center" vertical="center" wrapText="1"/>
    </xf>
    <xf numFmtId="0" fontId="32" fillId="0" borderId="53" xfId="0" applyFont="1" applyBorder="1" applyAlignment="1">
      <alignment vertical="center" wrapText="1"/>
    </xf>
    <xf numFmtId="0" fontId="32" fillId="0" borderId="52" xfId="0" applyFont="1" applyBorder="1" applyAlignment="1">
      <alignment vertical="center" wrapText="1"/>
    </xf>
    <xf numFmtId="0" fontId="32" fillId="38" borderId="53" xfId="0" applyFont="1" applyFill="1" applyBorder="1" applyAlignment="1">
      <alignment vertical="center" wrapText="1"/>
    </xf>
    <xf numFmtId="0" fontId="32" fillId="0" borderId="55" xfId="0" applyFont="1" applyBorder="1" applyAlignment="1">
      <alignment horizontal="center" vertical="center" wrapText="1"/>
    </xf>
    <xf numFmtId="0" fontId="50" fillId="0" borderId="52" xfId="0" applyFont="1" applyBorder="1" applyAlignment="1">
      <alignment horizontal="center" vertical="center" wrapText="1"/>
    </xf>
    <xf numFmtId="0" fontId="50" fillId="0" borderId="52" xfId="56" applyFont="1" applyBorder="1" applyAlignment="1">
      <alignment horizontal="center" vertical="center" wrapText="1"/>
    </xf>
    <xf numFmtId="171" fontId="50" fillId="0" borderId="52" xfId="56" applyNumberFormat="1" applyFont="1" applyBorder="1"/>
    <xf numFmtId="0" fontId="31" fillId="70" borderId="22" xfId="0" applyFont="1" applyFill="1" applyBorder="1" applyAlignment="1">
      <alignment horizontal="center" vertical="center" wrapText="1"/>
    </xf>
    <xf numFmtId="0" fontId="31" fillId="70" borderId="62" xfId="0" applyFont="1" applyFill="1" applyBorder="1" applyAlignment="1">
      <alignment horizontal="center" vertical="center" wrapText="1"/>
    </xf>
    <xf numFmtId="0" fontId="33" fillId="0" borderId="22" xfId="0" applyFont="1" applyBorder="1" applyAlignment="1">
      <alignment horizontal="center" vertical="center"/>
    </xf>
    <xf numFmtId="0" fontId="33" fillId="0" borderId="60" xfId="0" applyFont="1" applyBorder="1" applyAlignment="1">
      <alignment horizontal="center" vertical="center"/>
    </xf>
    <xf numFmtId="0" fontId="31" fillId="35" borderId="23" xfId="0" applyFont="1" applyFill="1" applyBorder="1" applyAlignment="1">
      <alignment horizontal="center" vertical="center" wrapText="1"/>
    </xf>
    <xf numFmtId="0" fontId="31" fillId="35" borderId="78" xfId="0" applyFont="1" applyFill="1" applyBorder="1" applyAlignment="1">
      <alignment horizontal="center" vertical="center" wrapText="1"/>
    </xf>
    <xf numFmtId="0" fontId="31" fillId="35" borderId="44" xfId="0" applyFont="1" applyFill="1" applyBorder="1" applyAlignment="1">
      <alignment horizontal="center" vertical="center" wrapText="1"/>
    </xf>
    <xf numFmtId="0" fontId="31" fillId="35" borderId="73" xfId="0" applyFont="1" applyFill="1" applyBorder="1" applyAlignment="1">
      <alignment horizontal="center" vertical="center" wrapText="1"/>
    </xf>
    <xf numFmtId="0" fontId="31" fillId="0" borderId="40" xfId="0" applyFont="1" applyBorder="1" applyAlignment="1">
      <alignment horizontal="center"/>
    </xf>
    <xf numFmtId="0" fontId="31" fillId="0" borderId="41" xfId="0" applyFont="1" applyBorder="1" applyAlignment="1">
      <alignment horizontal="center"/>
    </xf>
    <xf numFmtId="0" fontId="31" fillId="0" borderId="42" xfId="0" applyFont="1" applyBorder="1" applyAlignment="1">
      <alignment horizontal="center"/>
    </xf>
    <xf numFmtId="0" fontId="45" fillId="55" borderId="13" xfId="49" applyFont="1" applyFill="1" applyBorder="1" applyAlignment="1">
      <alignment horizontal="center" vertical="top"/>
    </xf>
    <xf numFmtId="0" fontId="45" fillId="55" borderId="20" xfId="49" applyFont="1" applyFill="1" applyBorder="1" applyAlignment="1">
      <alignment horizontal="center" vertical="top"/>
    </xf>
    <xf numFmtId="0" fontId="33" fillId="0" borderId="0" xfId="0" applyFont="1" applyAlignment="1">
      <alignment horizontal="left" wrapText="1"/>
    </xf>
    <xf numFmtId="0" fontId="26" fillId="38" borderId="13" xfId="0" applyFont="1" applyFill="1" applyBorder="1" applyAlignment="1">
      <alignment horizontal="center"/>
    </xf>
    <xf numFmtId="0" fontId="26" fillId="38" borderId="19" xfId="0" applyFont="1" applyFill="1" applyBorder="1" applyAlignment="1">
      <alignment horizontal="center"/>
    </xf>
    <xf numFmtId="0" fontId="26" fillId="38" borderId="20" xfId="0" applyFont="1" applyFill="1" applyBorder="1" applyAlignment="1">
      <alignment horizontal="center"/>
    </xf>
    <xf numFmtId="0" fontId="26" fillId="38" borderId="10" xfId="0" applyFont="1" applyFill="1" applyBorder="1" applyAlignment="1">
      <alignment horizontal="center" vertical="center"/>
    </xf>
    <xf numFmtId="0" fontId="50" fillId="38" borderId="40" xfId="0" applyFont="1" applyFill="1" applyBorder="1" applyAlignment="1">
      <alignment horizontal="left"/>
    </xf>
    <xf numFmtId="0" fontId="50" fillId="38" borderId="41" xfId="0" applyFont="1" applyFill="1" applyBorder="1" applyAlignment="1">
      <alignment horizontal="left"/>
    </xf>
    <xf numFmtId="0" fontId="50" fillId="38" borderId="54" xfId="0" applyFont="1" applyFill="1" applyBorder="1" applyAlignment="1">
      <alignment horizontal="left"/>
    </xf>
    <xf numFmtId="0" fontId="48" fillId="0" borderId="0" xfId="56" applyFont="1" applyAlignment="1">
      <alignment vertical="center" wrapText="1"/>
    </xf>
    <xf numFmtId="0" fontId="50" fillId="0" borderId="51" xfId="56" applyFont="1" applyBorder="1" applyAlignment="1">
      <alignment horizontal="left"/>
    </xf>
    <xf numFmtId="0" fontId="50" fillId="0" borderId="52" xfId="56" applyFont="1" applyBorder="1" applyAlignment="1">
      <alignment horizontal="left"/>
    </xf>
    <xf numFmtId="0" fontId="50" fillId="0" borderId="40" xfId="56" applyFont="1" applyBorder="1" applyAlignment="1">
      <alignment horizontal="left" vertical="center" wrapText="1"/>
    </xf>
    <xf numFmtId="0" fontId="50" fillId="0" borderId="41" xfId="56" applyFont="1" applyBorder="1" applyAlignment="1">
      <alignment horizontal="left" vertical="center" wrapText="1"/>
    </xf>
    <xf numFmtId="0" fontId="50" fillId="0" borderId="42" xfId="56" applyFont="1" applyBorder="1" applyAlignment="1">
      <alignment horizontal="left" vertical="center" wrapText="1"/>
    </xf>
    <xf numFmtId="0" fontId="111" fillId="0" borderId="40" xfId="56" applyFont="1" applyBorder="1" applyAlignment="1">
      <alignment horizontal="left" vertical="center" wrapText="1"/>
    </xf>
    <xf numFmtId="0" fontId="111" fillId="0" borderId="41" xfId="56" applyFont="1" applyBorder="1" applyAlignment="1">
      <alignment horizontal="left" vertical="center" wrapText="1"/>
    </xf>
    <xf numFmtId="0" fontId="111" fillId="0" borderId="42" xfId="56" applyFont="1" applyBorder="1" applyAlignment="1">
      <alignment horizontal="left" vertical="center" wrapText="1"/>
    </xf>
    <xf numFmtId="0" fontId="32" fillId="0" borderId="13" xfId="0" applyFont="1" applyBorder="1" applyAlignment="1">
      <alignment horizontal="left"/>
    </xf>
    <xf numFmtId="0" fontId="32" fillId="0" borderId="20" xfId="0" applyFont="1" applyBorder="1" applyAlignment="1">
      <alignment horizontal="left"/>
    </xf>
    <xf numFmtId="0" fontId="50" fillId="0" borderId="40" xfId="0" applyFont="1" applyBorder="1" applyAlignment="1">
      <alignment horizontal="left"/>
    </xf>
    <xf numFmtId="0" fontId="50" fillId="0" borderId="41" xfId="0" applyFont="1" applyBorder="1" applyAlignment="1">
      <alignment horizontal="left"/>
    </xf>
    <xf numFmtId="0" fontId="50" fillId="0" borderId="54" xfId="0" applyFont="1" applyBorder="1" applyAlignment="1">
      <alignment horizontal="left"/>
    </xf>
    <xf numFmtId="0" fontId="50" fillId="38" borderId="51" xfId="56" applyFont="1" applyFill="1" applyBorder="1" applyAlignment="1">
      <alignment horizontal="left"/>
    </xf>
    <xf numFmtId="0" fontId="50" fillId="38" borderId="52" xfId="56" applyFont="1" applyFill="1" applyBorder="1" applyAlignment="1">
      <alignment horizontal="left"/>
    </xf>
    <xf numFmtId="0" fontId="111" fillId="0" borderId="76" xfId="0" applyFont="1" applyBorder="1" applyAlignment="1">
      <alignment horizontal="left" vertical="center"/>
    </xf>
    <xf numFmtId="0" fontId="111" fillId="0" borderId="54" xfId="0" applyFont="1" applyBorder="1" applyAlignment="1">
      <alignment horizontal="left" vertical="center"/>
    </xf>
    <xf numFmtId="0" fontId="32" fillId="0" borderId="75" xfId="0" applyFont="1" applyBorder="1" applyAlignment="1">
      <alignment horizontal="left"/>
    </xf>
    <xf numFmtId="0" fontId="32" fillId="0" borderId="47" xfId="0" applyFont="1" applyBorder="1" applyAlignment="1">
      <alignment horizontal="left"/>
    </xf>
    <xf numFmtId="0" fontId="35" fillId="0" borderId="0" xfId="56" applyFont="1" applyAlignment="1">
      <alignment vertical="center" wrapText="1"/>
    </xf>
    <xf numFmtId="0" fontId="78" fillId="0" borderId="27" xfId="0" applyFont="1" applyBorder="1" applyAlignment="1">
      <alignment horizontal="center" vertical="center"/>
    </xf>
    <xf numFmtId="0" fontId="78" fillId="0" borderId="32" xfId="0" applyFont="1" applyBorder="1" applyAlignment="1">
      <alignment horizontal="center" vertical="center"/>
    </xf>
    <xf numFmtId="0" fontId="78" fillId="0" borderId="28" xfId="0" applyFont="1" applyBorder="1" applyAlignment="1">
      <alignment horizontal="center" vertical="center"/>
    </xf>
    <xf numFmtId="0" fontId="78" fillId="0" borderId="33" xfId="0" applyFont="1" applyBorder="1" applyAlignment="1">
      <alignment horizontal="center" vertical="center"/>
    </xf>
    <xf numFmtId="0" fontId="78" fillId="0" borderId="25" xfId="0" applyFont="1" applyBorder="1" applyAlignment="1">
      <alignment horizontal="center" vertical="center" wrapText="1"/>
    </xf>
    <xf numFmtId="0" fontId="78" fillId="0" borderId="38" xfId="0" applyFont="1" applyBorder="1" applyAlignment="1">
      <alignment horizontal="center" vertical="center" wrapText="1"/>
    </xf>
    <xf numFmtId="0" fontId="78" fillId="0" borderId="28" xfId="0" applyFont="1" applyBorder="1" applyAlignment="1">
      <alignment horizontal="center" vertical="center" wrapText="1"/>
    </xf>
    <xf numFmtId="0" fontId="78" fillId="0" borderId="33" xfId="0" applyFont="1" applyBorder="1" applyAlignment="1">
      <alignment horizontal="center" vertical="center" wrapText="1"/>
    </xf>
    <xf numFmtId="0" fontId="78" fillId="0" borderId="29" xfId="0" applyFont="1" applyBorder="1" applyAlignment="1">
      <alignment horizontal="center" vertical="center"/>
    </xf>
    <xf numFmtId="0" fontId="78" fillId="0" borderId="34" xfId="0" applyFont="1" applyBorder="1" applyAlignment="1">
      <alignment horizontal="center" vertical="center"/>
    </xf>
    <xf numFmtId="0" fontId="50" fillId="0" borderId="10" xfId="0" applyFont="1" applyBorder="1" applyAlignment="1">
      <alignment horizontal="center" vertical="center" wrapText="1"/>
    </xf>
    <xf numFmtId="0" fontId="50" fillId="0" borderId="22" xfId="0" applyFont="1" applyBorder="1" applyAlignment="1">
      <alignment horizontal="center" vertical="center"/>
    </xf>
    <xf numFmtId="0" fontId="50" fillId="0" borderId="23" xfId="0" applyFont="1" applyBorder="1" applyAlignment="1">
      <alignment horizontal="center" vertical="center"/>
    </xf>
    <xf numFmtId="0" fontId="50" fillId="0" borderId="44" xfId="0" applyFont="1" applyBorder="1" applyAlignment="1">
      <alignment horizontal="center" vertical="center"/>
    </xf>
    <xf numFmtId="0" fontId="50" fillId="0" borderId="60" xfId="0" applyFont="1" applyBorder="1" applyAlignment="1">
      <alignment horizontal="center" vertical="center"/>
    </xf>
    <xf numFmtId="0" fontId="50" fillId="0" borderId="78" xfId="0" applyFont="1" applyBorder="1" applyAlignment="1">
      <alignment horizontal="center" vertical="center"/>
    </xf>
    <xf numFmtId="0" fontId="50" fillId="0" borderId="73" xfId="0" applyFont="1" applyBorder="1" applyAlignment="1">
      <alignment horizontal="center" vertical="center"/>
    </xf>
    <xf numFmtId="0" fontId="50" fillId="0" borderId="43" xfId="0" applyFont="1" applyBorder="1" applyAlignment="1">
      <alignment horizontal="center" vertical="center" wrapText="1"/>
    </xf>
    <xf numFmtId="0" fontId="50" fillId="0" borderId="49" xfId="0" applyFont="1" applyBorder="1" applyAlignment="1">
      <alignment horizontal="center" vertical="center" wrapText="1"/>
    </xf>
    <xf numFmtId="0" fontId="50" fillId="0" borderId="47" xfId="0" applyFont="1" applyBorder="1" applyAlignment="1">
      <alignment horizontal="center" vertical="center" wrapText="1"/>
    </xf>
    <xf numFmtId="0" fontId="50" fillId="0" borderId="28" xfId="0" applyFont="1" applyBorder="1" applyAlignment="1">
      <alignment horizontal="center" vertical="center" wrapText="1"/>
    </xf>
    <xf numFmtId="0" fontId="50" fillId="0" borderId="75" xfId="0" applyFont="1" applyBorder="1" applyAlignment="1">
      <alignment horizontal="center" vertical="center" wrapText="1"/>
    </xf>
    <xf numFmtId="0" fontId="50" fillId="0" borderId="36" xfId="0" applyFont="1" applyBorder="1" applyAlignment="1">
      <alignment horizontal="center" vertical="center" wrapText="1"/>
    </xf>
    <xf numFmtId="0" fontId="50" fillId="0" borderId="23" xfId="0" applyFont="1" applyBorder="1" applyAlignment="1">
      <alignment horizontal="center" vertical="center" wrapText="1"/>
    </xf>
    <xf numFmtId="0" fontId="50" fillId="0" borderId="16" xfId="0" applyFont="1" applyBorder="1" applyAlignment="1">
      <alignment horizontal="center" vertical="center" wrapText="1"/>
    </xf>
    <xf numFmtId="0" fontId="50" fillId="0" borderId="17" xfId="0" applyFont="1" applyBorder="1" applyAlignment="1">
      <alignment horizontal="center" vertical="center" wrapText="1"/>
    </xf>
    <xf numFmtId="0" fontId="50" fillId="0" borderId="27" xfId="0" applyFont="1" applyBorder="1" applyAlignment="1">
      <alignment horizontal="center" vertical="center" wrapText="1"/>
    </xf>
    <xf numFmtId="0" fontId="50" fillId="0" borderId="30" xfId="0" applyFont="1" applyBorder="1" applyAlignment="1">
      <alignment horizontal="center" vertical="center" wrapText="1"/>
    </xf>
    <xf numFmtId="0" fontId="50" fillId="0" borderId="44" xfId="0" applyFont="1" applyBorder="1" applyAlignment="1">
      <alignment horizontal="center" vertical="center" wrapText="1"/>
    </xf>
    <xf numFmtId="0" fontId="50" fillId="0" borderId="80" xfId="0" applyFont="1" applyBorder="1" applyAlignment="1">
      <alignment horizontal="center" vertical="center" wrapText="1"/>
    </xf>
    <xf numFmtId="0" fontId="50" fillId="0" borderId="20" xfId="0" applyFont="1" applyBorder="1" applyAlignment="1">
      <alignment horizontal="center" vertical="center" wrapText="1"/>
    </xf>
    <xf numFmtId="3" fontId="56" fillId="38" borderId="28" xfId="0" applyNumberFormat="1" applyFont="1" applyFill="1" applyBorder="1" applyAlignment="1">
      <alignment horizontal="center" vertical="center" wrapText="1"/>
    </xf>
    <xf numFmtId="3" fontId="56" fillId="38" borderId="11" xfId="0" applyNumberFormat="1" applyFont="1" applyFill="1" applyBorder="1" applyAlignment="1">
      <alignment horizontal="center" vertical="center" wrapText="1"/>
    </xf>
    <xf numFmtId="0" fontId="59" fillId="63" borderId="62" xfId="0" applyFont="1" applyFill="1" applyBorder="1" applyAlignment="1">
      <alignment vertical="center" wrapText="1"/>
    </xf>
    <xf numFmtId="0" fontId="59" fillId="63" borderId="0" xfId="0" applyFont="1" applyFill="1" applyAlignment="1">
      <alignment vertical="center" wrapText="1"/>
    </xf>
    <xf numFmtId="0" fontId="59" fillId="63" borderId="63" xfId="0" applyFont="1" applyFill="1" applyBorder="1" applyAlignment="1">
      <alignment vertical="center" wrapText="1"/>
    </xf>
    <xf numFmtId="0" fontId="108" fillId="63" borderId="35" xfId="0" applyFont="1" applyFill="1" applyBorder="1" applyAlignment="1">
      <alignment vertical="center" wrapText="1"/>
    </xf>
    <xf numFmtId="0" fontId="108" fillId="63" borderId="25" xfId="0" applyFont="1" applyFill="1" applyBorder="1" applyAlignment="1">
      <alignment vertical="center" wrapText="1"/>
    </xf>
    <xf numFmtId="0" fontId="108" fillId="63" borderId="62" xfId="0" applyFont="1" applyFill="1" applyBorder="1" applyAlignment="1">
      <alignment horizontal="left" vertical="center" wrapText="1"/>
    </xf>
    <xf numFmtId="0" fontId="108" fillId="63" borderId="0" xfId="0" applyFont="1" applyFill="1" applyAlignment="1">
      <alignment horizontal="left" vertical="center" wrapText="1"/>
    </xf>
    <xf numFmtId="0" fontId="108" fillId="63" borderId="63" xfId="0" applyFont="1" applyFill="1" applyBorder="1" applyAlignment="1">
      <alignment horizontal="left" vertical="center" wrapText="1"/>
    </xf>
    <xf numFmtId="0" fontId="108" fillId="63" borderId="40" xfId="0" applyFont="1" applyFill="1" applyBorder="1" applyAlignment="1">
      <alignment vertical="center" wrapText="1"/>
    </xf>
    <xf numFmtId="0" fontId="108" fillId="63" borderId="41" xfId="0" applyFont="1" applyFill="1" applyBorder="1" applyAlignment="1">
      <alignment vertical="center" wrapText="1"/>
    </xf>
    <xf numFmtId="0" fontId="108" fillId="63" borderId="42" xfId="0" applyFont="1" applyFill="1" applyBorder="1" applyAlignment="1">
      <alignment vertical="center" wrapText="1"/>
    </xf>
    <xf numFmtId="0" fontId="59" fillId="38" borderId="60" xfId="0" applyFont="1" applyFill="1" applyBorder="1" applyAlignment="1">
      <alignment vertical="center" wrapText="1"/>
    </xf>
    <xf numFmtId="0" fontId="59" fillId="38" borderId="78" xfId="0" applyFont="1" applyFill="1" applyBorder="1" applyAlignment="1">
      <alignment vertical="center" wrapText="1"/>
    </xf>
    <xf numFmtId="0" fontId="59" fillId="38" borderId="73" xfId="0" applyFont="1" applyFill="1" applyBorder="1" applyAlignment="1">
      <alignment vertical="center" wrapText="1"/>
    </xf>
    <xf numFmtId="0" fontId="59" fillId="38" borderId="67" xfId="0" applyFont="1" applyFill="1" applyBorder="1" applyAlignment="1">
      <alignment horizontal="center" vertical="center" wrapText="1"/>
    </xf>
    <xf numFmtId="0" fontId="59" fillId="38" borderId="90" xfId="0" applyFont="1" applyFill="1" applyBorder="1" applyAlignment="1">
      <alignment horizontal="center" vertical="center" wrapText="1"/>
    </xf>
    <xf numFmtId="0" fontId="59" fillId="38" borderId="68" xfId="0" applyFont="1" applyFill="1" applyBorder="1" applyAlignment="1">
      <alignment horizontal="center" vertical="center" wrapText="1"/>
    </xf>
    <xf numFmtId="0" fontId="50" fillId="38" borderId="51" xfId="0" applyFont="1" applyFill="1" applyBorder="1" applyAlignment="1">
      <alignment horizontal="center" vertical="center" wrapText="1"/>
    </xf>
    <xf numFmtId="0" fontId="50" fillId="38" borderId="52" xfId="0" applyFont="1" applyFill="1" applyBorder="1" applyAlignment="1">
      <alignment horizontal="center" vertical="center" wrapText="1"/>
    </xf>
    <xf numFmtId="0" fontId="50" fillId="0" borderId="45" xfId="0" applyFont="1" applyBorder="1" applyAlignment="1">
      <alignment horizontal="center" vertical="center" wrapText="1"/>
    </xf>
    <xf numFmtId="0" fontId="50" fillId="0" borderId="72" xfId="0" applyFont="1" applyBorder="1" applyAlignment="1">
      <alignment horizontal="center" vertical="center" wrapText="1"/>
    </xf>
    <xf numFmtId="0" fontId="50" fillId="69" borderId="40" xfId="0" applyFont="1" applyFill="1" applyBorder="1" applyAlignment="1">
      <alignment horizontal="center" vertical="center" wrapText="1"/>
    </xf>
    <xf numFmtId="0" fontId="50" fillId="69" borderId="41" xfId="0" applyFont="1" applyFill="1" applyBorder="1" applyAlignment="1">
      <alignment horizontal="center" vertical="center" wrapText="1"/>
    </xf>
    <xf numFmtId="0" fontId="50" fillId="69" borderId="42" xfId="0" applyFont="1" applyFill="1" applyBorder="1" applyAlignment="1">
      <alignment horizontal="center" vertical="center" wrapText="1"/>
    </xf>
    <xf numFmtId="0" fontId="82" fillId="0" borderId="0" xfId="58" applyFont="1" applyAlignment="1">
      <alignment horizontal="left" wrapText="1"/>
    </xf>
    <xf numFmtId="0" fontId="56" fillId="38" borderId="22" xfId="58" applyFont="1" applyFill="1" applyBorder="1" applyAlignment="1">
      <alignment horizontal="center" vertical="center" wrapText="1"/>
    </xf>
    <xf numFmtId="0" fontId="56" fillId="38" borderId="23" xfId="58" applyFont="1" applyFill="1" applyBorder="1" applyAlignment="1">
      <alignment horizontal="center" vertical="center" wrapText="1"/>
    </xf>
    <xf numFmtId="0" fontId="56" fillId="38" borderId="62" xfId="58" applyFont="1" applyFill="1" applyBorder="1" applyAlignment="1">
      <alignment horizontal="center" vertical="center" wrapText="1"/>
    </xf>
    <xf numFmtId="0" fontId="56" fillId="38" borderId="0" xfId="58" applyFont="1" applyFill="1" applyAlignment="1">
      <alignment horizontal="center" vertical="center" wrapText="1"/>
    </xf>
    <xf numFmtId="0" fontId="56" fillId="38" borderId="79" xfId="58" applyFont="1" applyFill="1" applyBorder="1" applyAlignment="1">
      <alignment horizontal="center" vertical="center" wrapText="1"/>
    </xf>
    <xf numFmtId="0" fontId="56" fillId="38" borderId="17" xfId="58" applyFont="1" applyFill="1" applyBorder="1" applyAlignment="1">
      <alignment horizontal="center" vertical="center" wrapText="1"/>
    </xf>
    <xf numFmtId="0" fontId="56" fillId="38" borderId="43" xfId="58" applyFont="1" applyFill="1" applyBorder="1" applyAlignment="1">
      <alignment horizontal="center" vertical="center" wrapText="1"/>
    </xf>
    <xf numFmtId="0" fontId="56" fillId="38" borderId="45" xfId="58" applyFont="1" applyFill="1" applyBorder="1" applyAlignment="1">
      <alignment horizontal="center" vertical="center" wrapText="1"/>
    </xf>
    <xf numFmtId="0" fontId="56" fillId="35" borderId="43" xfId="58" applyFont="1" applyFill="1" applyBorder="1" applyAlignment="1">
      <alignment horizontal="center" vertical="center" wrapText="1"/>
    </xf>
    <xf numFmtId="0" fontId="56" fillId="35" borderId="45" xfId="58" applyFont="1" applyFill="1" applyBorder="1" applyAlignment="1">
      <alignment horizontal="center" vertical="center" wrapText="1"/>
    </xf>
    <xf numFmtId="0" fontId="56" fillId="35" borderId="62" xfId="58" applyFont="1" applyFill="1" applyBorder="1" applyAlignment="1">
      <alignment horizontal="center" vertical="center" wrapText="1"/>
    </xf>
    <xf numFmtId="0" fontId="56" fillId="38" borderId="44" xfId="58" applyFont="1" applyFill="1" applyBorder="1" applyAlignment="1">
      <alignment horizontal="center" vertical="center" wrapText="1"/>
    </xf>
    <xf numFmtId="0" fontId="56" fillId="35" borderId="49" xfId="58" applyFont="1" applyFill="1" applyBorder="1" applyAlignment="1">
      <alignment horizontal="center" vertical="center" wrapText="1"/>
    </xf>
    <xf numFmtId="0" fontId="56" fillId="35" borderId="57" xfId="58" applyFont="1" applyFill="1" applyBorder="1" applyAlignment="1">
      <alignment horizontal="center" vertical="center" wrapText="1"/>
    </xf>
    <xf numFmtId="0" fontId="81" fillId="38" borderId="22" xfId="58" applyFont="1" applyFill="1" applyBorder="1" applyAlignment="1">
      <alignment horizontal="center" vertical="center" wrapText="1"/>
    </xf>
    <xf numFmtId="0" fontId="81" fillId="38" borderId="62" xfId="58" applyFont="1" applyFill="1" applyBorder="1" applyAlignment="1">
      <alignment horizontal="center" vertical="center" wrapText="1"/>
    </xf>
    <xf numFmtId="0" fontId="81" fillId="38" borderId="26" xfId="58" applyFont="1" applyFill="1" applyBorder="1" applyAlignment="1">
      <alignment horizontal="center" vertical="center" wrapText="1"/>
    </xf>
    <xf numFmtId="0" fontId="81" fillId="38" borderId="71" xfId="58" applyFont="1" applyFill="1" applyBorder="1" applyAlignment="1">
      <alignment horizontal="center" vertical="center" wrapText="1"/>
    </xf>
    <xf numFmtId="0" fontId="56" fillId="38" borderId="63" xfId="58" applyFont="1" applyFill="1" applyBorder="1" applyAlignment="1">
      <alignment horizontal="center" vertical="center" wrapText="1"/>
    </xf>
    <xf numFmtId="0" fontId="56" fillId="38" borderId="40" xfId="58" applyFont="1" applyFill="1" applyBorder="1" applyAlignment="1">
      <alignment horizontal="center" vertical="center" wrapText="1"/>
    </xf>
    <xf numFmtId="0" fontId="56" fillId="38" borderId="42" xfId="58" applyFont="1" applyFill="1" applyBorder="1" applyAlignment="1">
      <alignment horizontal="center" vertical="center" wrapText="1"/>
    </xf>
    <xf numFmtId="0" fontId="70" fillId="38" borderId="57" xfId="58" applyFont="1" applyFill="1" applyBorder="1" applyAlignment="1">
      <alignment horizontal="center" vertical="center" wrapText="1"/>
    </xf>
    <xf numFmtId="0" fontId="70" fillId="38" borderId="45" xfId="58" applyFont="1" applyFill="1" applyBorder="1" applyAlignment="1">
      <alignment horizontal="center" vertical="center" wrapText="1"/>
    </xf>
    <xf numFmtId="0" fontId="70" fillId="38" borderId="72" xfId="58" applyFont="1" applyFill="1" applyBorder="1" applyAlignment="1">
      <alignment horizontal="center" vertical="center" wrapText="1"/>
    </xf>
    <xf numFmtId="0" fontId="56" fillId="38" borderId="57" xfId="58" applyFont="1" applyFill="1" applyBorder="1" applyAlignment="1">
      <alignment horizontal="center" vertical="center" wrapText="1"/>
    </xf>
    <xf numFmtId="0" fontId="56" fillId="38" borderId="49" xfId="58" applyFont="1" applyFill="1" applyBorder="1" applyAlignment="1">
      <alignment horizontal="center" vertical="center" wrapText="1"/>
    </xf>
    <xf numFmtId="0" fontId="56" fillId="38" borderId="40" xfId="58" applyFont="1" applyFill="1" applyBorder="1" applyAlignment="1">
      <alignment vertical="center" wrapText="1"/>
    </xf>
    <xf numFmtId="0" fontId="56" fillId="38" borderId="41" xfId="58" applyFont="1" applyFill="1" applyBorder="1" applyAlignment="1">
      <alignment vertical="center" wrapText="1"/>
    </xf>
    <xf numFmtId="0" fontId="56" fillId="38" borderId="42" xfId="58" applyFont="1" applyFill="1" applyBorder="1" applyAlignment="1">
      <alignment vertical="center" wrapText="1"/>
    </xf>
    <xf numFmtId="165" fontId="26" fillId="56" borderId="0" xfId="44" applyNumberFormat="1" applyFont="1" applyFill="1" applyAlignment="1">
      <alignment horizontal="center" vertical="center" wrapText="1"/>
    </xf>
    <xf numFmtId="0" fontId="0" fillId="39" borderId="0" xfId="0" applyFill="1" applyAlignment="1">
      <alignment horizontal="center"/>
    </xf>
    <xf numFmtId="0" fontId="0" fillId="36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3" fontId="26" fillId="0" borderId="0" xfId="0" applyNumberFormat="1" applyFont="1" applyFill="1" applyBorder="1" applyAlignment="1">
      <alignment horizontal="center"/>
    </xf>
    <xf numFmtId="0" fontId="26" fillId="38" borderId="13" xfId="0" applyFont="1" applyFill="1" applyBorder="1" applyAlignment="1">
      <alignment horizontal="center" vertical="center" wrapText="1"/>
    </xf>
    <xf numFmtId="0" fontId="26" fillId="38" borderId="20" xfId="0" applyFont="1" applyFill="1" applyBorder="1" applyAlignment="1">
      <alignment horizontal="center" vertical="center" wrapText="1"/>
    </xf>
    <xf numFmtId="3" fontId="0" fillId="0" borderId="13" xfId="0" applyNumberFormat="1" applyFont="1" applyFill="1" applyBorder="1" applyAlignment="1">
      <alignment horizontal="center"/>
    </xf>
    <xf numFmtId="3" fontId="0" fillId="0" borderId="20" xfId="0" applyNumberFormat="1" applyFont="1" applyFill="1" applyBorder="1" applyAlignment="1">
      <alignment horizontal="center"/>
    </xf>
    <xf numFmtId="0" fontId="26" fillId="38" borderId="19" xfId="0" applyFont="1" applyFill="1" applyBorder="1" applyAlignment="1">
      <alignment horizontal="center" vertical="center" wrapText="1"/>
    </xf>
    <xf numFmtId="3" fontId="0" fillId="0" borderId="10" xfId="0" applyNumberFormat="1" applyFont="1" applyFill="1" applyBorder="1" applyAlignment="1">
      <alignment horizontal="center"/>
    </xf>
    <xf numFmtId="167" fontId="89" fillId="71" borderId="10" xfId="49" applyNumberFormat="1" applyFont="1" applyFill="1" applyBorder="1" applyAlignment="1">
      <alignment horizontal="center" vertical="center"/>
    </xf>
    <xf numFmtId="0" fontId="90" fillId="71" borderId="10" xfId="49" applyNumberFormat="1" applyFont="1" applyFill="1" applyBorder="1" applyAlignment="1">
      <alignment horizontal="center" vertical="center" wrapText="1"/>
    </xf>
    <xf numFmtId="165" fontId="90" fillId="71" borderId="10" xfId="64" applyNumberFormat="1" applyFont="1" applyFill="1" applyBorder="1" applyAlignment="1">
      <alignment horizontal="center" vertical="center" wrapText="1"/>
    </xf>
    <xf numFmtId="0" fontId="57" fillId="0" borderId="97" xfId="0" applyFont="1" applyBorder="1" applyAlignment="1">
      <alignment horizontal="center" vertical="center" wrapText="1"/>
    </xf>
    <xf numFmtId="0" fontId="57" fillId="0" borderId="16" xfId="0" applyFont="1" applyBorder="1" applyAlignment="1">
      <alignment horizontal="center" vertical="center" wrapText="1"/>
    </xf>
    <xf numFmtId="0" fontId="56" fillId="38" borderId="10" xfId="0" applyFont="1" applyFill="1" applyBorder="1" applyAlignment="1">
      <alignment horizontal="center" vertical="center" wrapText="1"/>
    </xf>
    <xf numFmtId="0" fontId="51" fillId="0" borderId="30" xfId="0" applyFont="1" applyBorder="1" applyAlignment="1">
      <alignment horizontal="left" vertical="center"/>
    </xf>
    <xf numFmtId="0" fontId="51" fillId="0" borderId="10" xfId="0" applyFont="1" applyBorder="1" applyAlignment="1">
      <alignment horizontal="left" vertical="center"/>
    </xf>
    <xf numFmtId="0" fontId="51" fillId="0" borderId="31" xfId="0" applyFont="1" applyBorder="1" applyAlignment="1">
      <alignment horizontal="left" vertical="center"/>
    </xf>
  </cellXfs>
  <cellStyles count="65">
    <cellStyle name="20% - 1. jelölőszín" xfId="19" builtinId="30" customBuiltin="1"/>
    <cellStyle name="20% - 2. jelölőszín" xfId="23" builtinId="34" customBuiltin="1"/>
    <cellStyle name="20% - 3. jelölőszín" xfId="27" builtinId="38" customBuiltin="1"/>
    <cellStyle name="20% - 4. jelölőszín" xfId="31" builtinId="42" customBuiltin="1"/>
    <cellStyle name="20% - 5. jelölőszín" xfId="35" builtinId="46" customBuiltin="1"/>
    <cellStyle name="20% - 6. jelölőszín" xfId="39" builtinId="50" customBuiltin="1"/>
    <cellStyle name="40% - 1. jelölőszín" xfId="20" builtinId="31" customBuiltin="1"/>
    <cellStyle name="40% - 2. jelölőszín" xfId="24" builtinId="35" customBuiltin="1"/>
    <cellStyle name="40% - 3. jelölőszín" xfId="28" builtinId="39" customBuiltin="1"/>
    <cellStyle name="40% - 4. jelölőszín" xfId="32" builtinId="43" customBuiltin="1"/>
    <cellStyle name="40% - 5. jelölőszín" xfId="36" builtinId="47" customBuiltin="1"/>
    <cellStyle name="40% - 6. jelölőszín" xfId="40" builtinId="51" customBuiltin="1"/>
    <cellStyle name="60% - 1. jelölőszín" xfId="21" builtinId="32" customBuiltin="1"/>
    <cellStyle name="60% - 2. jelölőszín" xfId="25" builtinId="36" customBuiltin="1"/>
    <cellStyle name="60% - 3. jelölőszín" xfId="29" builtinId="40" customBuiltin="1"/>
    <cellStyle name="60% - 4. jelölőszín" xfId="33" builtinId="44" customBuiltin="1"/>
    <cellStyle name="60% - 5. jelölőszín" xfId="37" builtinId="48" customBuiltin="1"/>
    <cellStyle name="60% - 6. jelölőszín" xfId="41" builtinId="52" customBuiltin="1"/>
    <cellStyle name="Bevitel" xfId="9" builtinId="20" customBuiltin="1"/>
    <cellStyle name="Cím" xfId="1" builtinId="15" customBuiltin="1"/>
    <cellStyle name="Címsor 1" xfId="2" builtinId="16" customBuiltin="1"/>
    <cellStyle name="Címsor 2" xfId="3" builtinId="17" customBuiltin="1"/>
    <cellStyle name="Címsor 3" xfId="4" builtinId="18" customBuiltin="1"/>
    <cellStyle name="Címsor 4" xfId="5" builtinId="19" customBuiltin="1"/>
    <cellStyle name="Ellenőrzőcella" xfId="13" builtinId="23" customBuiltin="1"/>
    <cellStyle name="Ezres" xfId="42" builtinId="3"/>
    <cellStyle name="Ezres 2" xfId="44"/>
    <cellStyle name="Ezres 2 2" xfId="53"/>
    <cellStyle name="Ezres 2 2 2" xfId="55"/>
    <cellStyle name="Ezres 3" xfId="59"/>
    <cellStyle name="Ezres 4" xfId="61"/>
    <cellStyle name="Ezres 5" xfId="64"/>
    <cellStyle name="Figyelmeztetés" xfId="14" builtinId="11" customBuiltin="1"/>
    <cellStyle name="Hivatkozott cella" xfId="12" builtinId="24" customBuiltin="1"/>
    <cellStyle name="Jegyzet" xfId="15" builtinId="10" customBuiltin="1"/>
    <cellStyle name="Jelölőszín 1" xfId="18" builtinId="29" customBuiltin="1"/>
    <cellStyle name="Jelölőszín 2" xfId="22" builtinId="33" customBuiltin="1"/>
    <cellStyle name="Jelölőszín 3" xfId="26" builtinId="37" customBuiltin="1"/>
    <cellStyle name="Jelölőszín 4" xfId="30" builtinId="41" customBuiltin="1"/>
    <cellStyle name="Jelölőszín 5" xfId="34" builtinId="45" customBuiltin="1"/>
    <cellStyle name="Jelölőszín 6" xfId="38" builtinId="49" customBuiltin="1"/>
    <cellStyle name="Jó" xfId="6" builtinId="26" customBuiltin="1"/>
    <cellStyle name="Kimenet" xfId="10" builtinId="21" customBuiltin="1"/>
    <cellStyle name="Magyarázó szöveg" xfId="16" builtinId="53" customBuiltin="1"/>
    <cellStyle name="Normál" xfId="0" builtinId="0"/>
    <cellStyle name="Normál 2" xfId="43"/>
    <cellStyle name="Normál 2 2" xfId="49"/>
    <cellStyle name="Normál 2 3" xfId="57"/>
    <cellStyle name="Normál 2 4" xfId="62"/>
    <cellStyle name="Normál 25" xfId="46"/>
    <cellStyle name="Normál 27" xfId="47"/>
    <cellStyle name="Normál 3" xfId="45"/>
    <cellStyle name="Normál 3 2" xfId="52"/>
    <cellStyle name="Normál 4" xfId="54"/>
    <cellStyle name="Normál 4 2" xfId="58"/>
    <cellStyle name="Normál 4 2 3" xfId="48"/>
    <cellStyle name="Normál 5" xfId="56"/>
    <cellStyle name="Normál 6" xfId="60"/>
    <cellStyle name="Normál 8" xfId="63"/>
    <cellStyle name="Normál 9" xfId="51"/>
    <cellStyle name="Összesen" xfId="17" builtinId="25" customBuiltin="1"/>
    <cellStyle name="Rossz" xfId="7" builtinId="27" customBuiltin="1"/>
    <cellStyle name="Semleges" xfId="8" builtinId="28" customBuiltin="1"/>
    <cellStyle name="Számítás" xfId="11" builtinId="22" customBuiltin="1"/>
    <cellStyle name="Százalék" xfId="50" builtinId="5"/>
  </cellStyles>
  <dxfs count="559">
    <dxf>
      <numFmt numFmtId="3" formatCode="#,##0"/>
    </dxf>
    <dxf>
      <numFmt numFmtId="3" formatCode="#,##0"/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ont>
        <b/>
      </font>
    </dxf>
    <dxf>
      <fill>
        <patternFill patternType="none">
          <bgColor auto="1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numFmt numFmtId="3" formatCode="#,##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-0.249977111117893"/>
        </patternFill>
      </fill>
    </dxf>
    <dxf>
      <fill>
        <patternFill patternType="solid">
          <bgColor theme="9" tint="-0.249977111117893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numFmt numFmtId="3" formatCode="#,##0"/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numFmt numFmtId="171" formatCode="#,##0_ ;[Red]\-#,##0\ 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alignment wrapText="1"/>
    </dxf>
    <dxf>
      <alignment wrapText="1"/>
    </dxf>
    <dxf>
      <alignment wrapText="1"/>
    </dxf>
    <dxf>
      <fill>
        <patternFill patternType="none">
          <bgColor auto="1"/>
        </patternFill>
      </fill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font>
        <name val="Calibri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1" formatCode="#,##0_ ;[Red]\-#,##0\ "/>
    </dxf>
    <dxf>
      <font>
        <name val="Calibri"/>
      </font>
    </dxf>
    <dxf>
      <font>
        <name val="Calibri"/>
      </font>
    </dxf>
  </dxfs>
  <tableStyles count="0" defaultTableStyle="TableStyleMedium2" defaultPivotStyle="PivotStyleLight16"/>
  <colors>
    <mruColors>
      <color rgb="FFFF99FF"/>
      <color rgb="FFFF0066"/>
      <color rgb="FFFF3300"/>
      <color rgb="FFFCF488"/>
      <color rgb="FFEE8B40"/>
      <color rgb="FFDA8310"/>
      <color rgb="FF6666FF"/>
      <color rgb="FFCC3300"/>
      <color rgb="FF99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4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externalLink" Target="externalLinks/externalLink7.xml"/><Relationship Id="rId47" Type="http://schemas.openxmlformats.org/officeDocument/2006/relationships/externalLink" Target="externalLinks/externalLink12.xml"/><Relationship Id="rId50" Type="http://schemas.openxmlformats.org/officeDocument/2006/relationships/pivotCacheDefinition" Target="pivotCache/pivotCacheDefinition1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3.xml"/><Relationship Id="rId46" Type="http://schemas.openxmlformats.org/officeDocument/2006/relationships/externalLink" Target="externalLinks/externalLink1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externalLink" Target="externalLinks/externalLink6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2.xml"/><Relationship Id="rId40" Type="http://schemas.openxmlformats.org/officeDocument/2006/relationships/externalLink" Target="externalLinks/externalLink5.xml"/><Relationship Id="rId45" Type="http://schemas.openxmlformats.org/officeDocument/2006/relationships/externalLink" Target="externalLinks/externalLink10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1.xml"/><Relationship Id="rId49" Type="http://schemas.openxmlformats.org/officeDocument/2006/relationships/externalLink" Target="externalLinks/externalLink14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9.xml"/><Relationship Id="rId52" Type="http://schemas.openxmlformats.org/officeDocument/2006/relationships/pivotCacheDefinition" Target="pivotCache/pivotCacheDefinition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externalLink" Target="externalLinks/externalLink8.xml"/><Relationship Id="rId48" Type="http://schemas.openxmlformats.org/officeDocument/2006/relationships/externalLink" Target="externalLinks/externalLink13.xml"/><Relationship Id="rId56" Type="http://schemas.openxmlformats.org/officeDocument/2006/relationships/sheetMetadata" Target="metadata.xml"/><Relationship Id="rId8" Type="http://schemas.openxmlformats.org/officeDocument/2006/relationships/worksheet" Target="worksheets/sheet8.xml"/><Relationship Id="rId51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INDOWS\Temporary%20Internet%20Files\OLKE3B3\KV2005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\_asztalon_volt\&#243;rarendk&#233;sz&#237;t&#233;s_k&#246;lts&#233;gtervek\2019&#337;sz\KOGNIT&#205;V\Oraadoi_ktsgterv_tablazat_2019_2020_I_oszELUP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Sales\K&#214;ZBESZERZ&#201;S\K&#246;zbeszerz&#233;sek%202017\F&#214;LDG&#193;Z\E&#246;tv&#246;s%20Lor&#225;nd%20Tudom&#225;nyegyetem\TAG\TAG_Migr&#225;l&#225;sra_K&#214;ZBESZ_ELTE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kozos/Uzemeltetes/Terv%202019/M&#193;RTON/Terv_K&#233;p&#237;r&#243;_2019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&#211;raad&#243;i%20szerz&#337;d&#233;sek\2019_2020_I_&#337;sz\T&#225;bl&#225;zatok\ESI\ESI_Oraadoi_ktsgterv_tablazat_2019_2020_I_osz_20190415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Uzemeltetes/Terv%202020/&#252;zemeltet&#233;si%20terv%202020%20V2/35%20Terv_%20Huszt%20utcai%20lak&#225;sok-2020v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:\WINDOWS\Temporary%20Internet%20Files\OLKE3B3\KV20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apai.istvan/AppData/Roaming/Microsoft/Excel/SEK%20terv2019-v02_&#252;zemeltet&#233;s-ErdeiZsuzsi%20(version%201).xlsb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fs\elte.hu\Adatrogzito\ADATROGZITO\Agatr&#246;gz&#237;t&#337;k%20Energiagazd&#225;lkod&#225;s\ELTE\ELTE%202012%20Adatr&#246;gz&#237;t&#337;%20t&#225;bla_v2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fs\elte.hu\EMT\Energiagazd&#225;lkod&#225;s\Szerz&#337;d&#246;tt%20c&#233;gek\ELTE\Adatr&#246;gz&#237;t&#233;s\ELTE%202014%20Adatr&#246;gz&#237;t&#337;%20t&#225;bla_v4_s_2014_10_06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zemeltetes/Terv%202020/&#252;zemeltet&#233;s%20terv%202020%20V1/Terv-2020-SEK-oktat&#225;s-1030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znt\energia\WINNT\Profiles\magdi.001\Asztal\energia_szamlak_2003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fs\elte.hu\Users\user\AppData\Local\Temp\szamlazas_2014%20a%202014.%20&#233;vi%20besz&#225;mol&#243;hoz%20-%20jav&#237;tot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zemeltetes/Terv%202020/&#252;zemeltet&#233;s%20terv%202020%20V1/TERV_2020_KECSKEM&#201;TI%20U.%2010-12._110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agram1"/>
      <sheetName val="kv.várható.köz.2001"/>
      <sheetName val="kv.várható.köz.2001.inf."/>
      <sheetName val="kv.várható.köz.2002.inf. "/>
      <sheetName val="kv.várható.köz.2003."/>
      <sheetName val="kv.várható.köz.2004."/>
      <sheetName val="kv.várható.köz.2004.Mód. "/>
      <sheetName val="kv.várható.köz.2005"/>
      <sheetName val="SB"/>
      <sheetName val="Segédtábla"/>
    </sheetNames>
    <sheetDataSet>
      <sheetData sheetId="0" refreshError="1"/>
      <sheetData sheetId="1">
        <row r="1">
          <cell r="B1" t="str">
            <v>Távhő</v>
          </cell>
          <cell r="F1" t="str">
            <v>Földgáz</v>
          </cell>
          <cell r="M1" t="str">
            <v xml:space="preserve"> Villamosenergia</v>
          </cell>
          <cell r="Q1" t="str">
            <v>Energia összesen</v>
          </cell>
          <cell r="T1" t="str">
            <v>Víz, csatorna</v>
          </cell>
          <cell r="X1" t="str">
            <v>Szippantás</v>
          </cell>
          <cell r="AA1" t="str">
            <v>Kéményseprés</v>
          </cell>
          <cell r="AD1" t="str">
            <v>Közmű összesen</v>
          </cell>
          <cell r="AG1" t="str">
            <v xml:space="preserve"> Telefon</v>
          </cell>
          <cell r="AJ1" t="str">
            <v>Mindösszesen</v>
          </cell>
        </row>
        <row r="3">
          <cell r="A3" t="str">
            <v>Tanulmányi ép.konyhák****</v>
          </cell>
        </row>
        <row r="4">
          <cell r="A4" t="str">
            <v xml:space="preserve">Óvoda-bölcsőde  </v>
          </cell>
        </row>
        <row r="5">
          <cell r="A5" t="str">
            <v>Gödi Okt.Közp.</v>
          </cell>
        </row>
        <row r="6">
          <cell r="A6" t="str">
            <v>B.Kenese MT</v>
          </cell>
        </row>
        <row r="7">
          <cell r="A7" t="str">
            <v>Hauszmann A. u.</v>
          </cell>
        </row>
        <row r="8">
          <cell r="A8" t="str">
            <v>Egyetem okt.ép.össz.:</v>
          </cell>
        </row>
        <row r="9">
          <cell r="A9" t="str">
            <v>Bogdánffy u.Sporttelep</v>
          </cell>
        </row>
        <row r="10">
          <cell r="A10" t="str">
            <v>Informatika épület *</v>
          </cell>
        </row>
        <row r="11">
          <cell r="A11" t="str">
            <v>Informatika Bme 2/3 **</v>
          </cell>
        </row>
        <row r="12">
          <cell r="A12" t="str">
            <v>Informatika Elte 1/3***</v>
          </cell>
        </row>
        <row r="13">
          <cell r="A13" t="str">
            <v>1.Egyetem összesen</v>
          </cell>
        </row>
        <row r="14">
          <cell r="A14" t="str">
            <v>Baross Koll.</v>
          </cell>
        </row>
        <row r="15">
          <cell r="A15" t="str">
            <v>Bercsényi Koll.</v>
          </cell>
        </row>
        <row r="16">
          <cell r="A16" t="str">
            <v>Kármán Koll.</v>
          </cell>
        </row>
        <row r="17">
          <cell r="A17" t="str">
            <v>Martos Koll.</v>
          </cell>
        </row>
        <row r="18">
          <cell r="A18" t="str">
            <v>Schönherz Koll.</v>
          </cell>
        </row>
        <row r="19">
          <cell r="A19" t="str">
            <v>Vásárhelyi Koll</v>
          </cell>
        </row>
        <row r="20">
          <cell r="A20" t="str">
            <v xml:space="preserve">Wigner Koll. </v>
          </cell>
        </row>
        <row r="21">
          <cell r="A21" t="str">
            <v>2.Kollégium össz.:</v>
          </cell>
        </row>
        <row r="22">
          <cell r="A22" t="str">
            <v>3. B.Lelle ifj.Tábor</v>
          </cell>
        </row>
        <row r="23">
          <cell r="A23" t="str">
            <v>1,2,3,Összesen</v>
          </cell>
        </row>
        <row r="25">
          <cell r="A25" t="str">
            <v>A Hauszmann A.u-i sporttelep költségeit MAFC téríti.</v>
          </cell>
        </row>
        <row r="26">
          <cell r="A26" t="str">
            <v>* Informatika épület a BME -hez beérkezett  számlák alapján 2000.évi felhasznált teljes épületre vonatkozó hőmennyiségek szerepelnek.</v>
          </cell>
        </row>
        <row r="27">
          <cell r="A27" t="str">
            <v>**és*** jelölt Informatika vizszintes sorokban szereplő természetes mértékegységek és forint összegek mennyiségei az 1.Egyetem összesen sor adataiban nem szerepelnek.</v>
          </cell>
        </row>
        <row r="28">
          <cell r="A28" t="str">
            <v>****A földgáz természetes mértékegység mennyiségénél az 1999.évről 2000.évre áthuzódó ki nem fizetett számla ,valamint fogyasztás mérők név átírása miatti csökkentett mennyiség lett figyelembe véve.</v>
          </cell>
        </row>
        <row r="29">
          <cell r="A29" t="str">
            <v>(Kármán,Martos koll. földgáz felhasználás a gázkazán miatti vetített mennyiség)</v>
          </cell>
        </row>
        <row r="30">
          <cell r="A30" t="str">
            <v>Az Informatika épület víz-csatorna ill.villamosenergia díjakat ELTE fizeti.</v>
          </cell>
        </row>
      </sheetData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1"/>
      <sheetName val="ELUP"/>
    </sheetNames>
    <sheetDataSet>
      <sheetData sheetId="0">
        <row r="751">
          <cell r="A751" t="str">
            <v>Nappali BA</v>
          </cell>
        </row>
      </sheetData>
      <sheetData sheetId="1">
        <row r="751">
          <cell r="A751" t="str">
            <v>Nappali BA</v>
          </cell>
        </row>
        <row r="752">
          <cell r="A752" t="str">
            <v>Nappali MA</v>
          </cell>
        </row>
        <row r="753">
          <cell r="A753" t="str">
            <v>Egyéb</v>
          </cell>
        </row>
        <row r="754">
          <cell r="A754" t="str">
            <v>PhD</v>
          </cell>
        </row>
        <row r="755">
          <cell r="A755" t="str">
            <v>Levelező BA</v>
          </cell>
        </row>
        <row r="756">
          <cell r="A756" t="str">
            <v>Levelező MA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G"/>
      <sheetName val="LM"/>
      <sheetName val="Munka3"/>
      <sheetName val="Key"/>
      <sheetName val="ker"/>
      <sheetName val="elo"/>
      <sheetName val="SAP ,migrtag fordító"/>
      <sheetName val="bankkulcs_lista"/>
      <sheetName val="Ellenőrzés"/>
      <sheetName val="ET"/>
    </sheetNames>
    <sheetDataSet>
      <sheetData sheetId="0"/>
      <sheetData sheetId="1"/>
      <sheetData sheetId="2"/>
      <sheetData sheetId="3">
        <row r="2">
          <cell r="C2" t="str">
            <v>FIXH</v>
          </cell>
          <cell r="D2" t="str">
            <v>m3/h</v>
          </cell>
        </row>
        <row r="3">
          <cell r="D3" t="str">
            <v>MJ/h</v>
          </cell>
        </row>
      </sheetData>
      <sheetData sheetId="4">
        <row r="1">
          <cell r="B1" t="str">
            <v>15X-E2-HUN-----4</v>
          </cell>
        </row>
      </sheetData>
      <sheetData sheetId="5">
        <row r="1">
          <cell r="B1" t="str">
            <v>39X60ALPIQCSEP1M</v>
          </cell>
        </row>
      </sheetData>
      <sheetData sheetId="6"/>
      <sheetData sheetId="7"/>
      <sheetData sheetId="8"/>
      <sheetData sheetId="9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szám"/>
      <sheetName val="épület neve"/>
      <sheetName val="Tervezésui irányelvek"/>
      <sheetName val="épületek"/>
      <sheetName val="M-anyagcsoportok"/>
      <sheetName val="tevékenységek"/>
      <sheetName val="technikai"/>
      <sheetName val="Munkaszám technikai"/>
    </sheetNames>
    <sheetDataSet>
      <sheetData sheetId="0">
        <row r="1">
          <cell r="A1" t="str">
            <v>A15001/16 ÁJK üzemeltetés</v>
          </cell>
        </row>
        <row r="2">
          <cell r="A2" t="str">
            <v>B15001/16 PPKüzemeltetés</v>
          </cell>
        </row>
        <row r="3">
          <cell r="A3" t="str">
            <v>C15001/16 BTK üzemeltetés</v>
          </cell>
        </row>
        <row r="4">
          <cell r="A4" t="str">
            <v>D15001/16 TTK üzemeltetés</v>
          </cell>
        </row>
        <row r="5">
          <cell r="A5" t="str">
            <v>E15001/16 IK üzemeltetés</v>
          </cell>
        </row>
        <row r="6">
          <cell r="A6" t="str">
            <v>F15001/16 TÁTK üzemeltetés</v>
          </cell>
        </row>
        <row r="7">
          <cell r="A7" t="str">
            <v>G15001/16 BGGYK üzemeltetés</v>
          </cell>
        </row>
        <row r="8">
          <cell r="A8" t="str">
            <v>H15001/16 TÓK üzemeltetés</v>
          </cell>
        </row>
        <row r="9">
          <cell r="A9" t="str">
            <v>S12401/16 Füvészkert üzemeltetés</v>
          </cell>
        </row>
        <row r="10">
          <cell r="A10" t="str">
            <v>S13201/16 Gothard Obsz.üzemeltetés</v>
          </cell>
        </row>
        <row r="11">
          <cell r="A11" t="str">
            <v>S14102/16 Tatai Geológus Kert üzemeltetés</v>
          </cell>
        </row>
        <row r="12">
          <cell r="A12" t="str">
            <v>R14202/16 Bibó István Szakkoll üzemeltetés</v>
          </cell>
        </row>
        <row r="13">
          <cell r="A13" t="str">
            <v>R14402/16 Eötvös József Collegüzemeltetés</v>
          </cell>
        </row>
        <row r="14">
          <cell r="A14" t="str">
            <v>R15102/16 Egyetemi Könyvtár, levéltárüzemelt</v>
          </cell>
        </row>
        <row r="15">
          <cell r="A15" t="str">
            <v>N13002/16 KCSSK üzemeltetés</v>
          </cell>
        </row>
        <row r="16">
          <cell r="A16" t="str">
            <v>N13102/16 NUKüzemeltetés</v>
          </cell>
        </row>
        <row r="17">
          <cell r="A17" t="str">
            <v>N13202/16 NFKüzemeltetés</v>
          </cell>
        </row>
        <row r="18">
          <cell r="A18" t="str">
            <v>N13302/16 VUKüzemeltetés</v>
          </cell>
        </row>
        <row r="19">
          <cell r="A19" t="str">
            <v>N13402/16 ADKüzemeltetés</v>
          </cell>
        </row>
        <row r="20">
          <cell r="A20" t="str">
            <v>N13502/16 KUKüzemeltetés</v>
          </cell>
        </row>
        <row r="21">
          <cell r="A21" t="str">
            <v>N13602/16 DUKüzemeltetés</v>
          </cell>
        </row>
        <row r="22">
          <cell r="A22" t="str">
            <v>N13802/16 MÁSZ-Kunigunda üzemeltetés</v>
          </cell>
        </row>
        <row r="23">
          <cell r="A23" t="str">
            <v>N13902/16 MÁSZ-Debrecen üzemeltetés</v>
          </cell>
        </row>
        <row r="24">
          <cell r="A24" t="str">
            <v>N14002/16 MÁSZ-Pécs üzemeltetés</v>
          </cell>
        </row>
        <row r="25">
          <cell r="A25" t="str">
            <v>N14102/16 MÁSZ-Szeged üzemeltetés</v>
          </cell>
        </row>
        <row r="26">
          <cell r="A26" t="str">
            <v>K02001/17 Damjanich üzemeltetés</v>
          </cell>
        </row>
        <row r="27">
          <cell r="A27" t="str">
            <v>K02002/17 Kecskemétiüzemeltetés</v>
          </cell>
        </row>
        <row r="28">
          <cell r="A28" t="str">
            <v>K02201/16 Lágymányosi üzemeltetés</v>
          </cell>
        </row>
        <row r="29">
          <cell r="A29" t="str">
            <v>K02601/16 Gépjármű üzemeltetés</v>
          </cell>
        </row>
        <row r="30">
          <cell r="A30" t="str">
            <v>K02701/16 Üdülők üzemeltetése</v>
          </cell>
        </row>
        <row r="31">
          <cell r="A31" t="str">
            <v>K04802/16 lektori lakások üzemeltetése</v>
          </cell>
        </row>
        <row r="32">
          <cell r="A32" t="str">
            <v>KK9926/11 központi üzemeltetés</v>
          </cell>
        </row>
        <row r="33">
          <cell r="A33" t="str">
            <v>N14401/17 SEK üzemeltetés</v>
          </cell>
        </row>
        <row r="34">
          <cell r="A34" t="str">
            <v>N14403/17 SEKgépjármű üzemeltetés</v>
          </cell>
        </row>
        <row r="35">
          <cell r="A35" t="str">
            <v>N12601/18 Egyetem tér 5. üzemeltetése</v>
          </cell>
        </row>
      </sheetData>
      <sheetData sheetId="1">
        <row r="2">
          <cell r="AE2">
            <v>490000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17 BSc N"/>
      <sheetName val="SPB17 BSc N"/>
      <sheetName val="SPREB17 BSc N"/>
      <sheetName val="SPSPB17 BSc N"/>
      <sheetName val="REKM17 MSc N"/>
      <sheetName val="REKB13 BSc N"/>
      <sheetName val="SSZB13 BSc N"/>
      <sheetName val="Általános testnevelés"/>
      <sheetName val="ESI kiegészítő költségek"/>
      <sheetName val="Munk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AB5" t="str">
            <v>Nappali BA</v>
          </cell>
        </row>
        <row r="6">
          <cell r="AB6" t="str">
            <v>Nappali MA</v>
          </cell>
        </row>
        <row r="7">
          <cell r="AB7" t="str">
            <v>Levelező BA</v>
          </cell>
        </row>
        <row r="8">
          <cell r="AB8" t="str">
            <v>Levelező MA</v>
          </cell>
        </row>
        <row r="11">
          <cell r="AB11" t="str">
            <v>PhD</v>
          </cell>
        </row>
        <row r="12">
          <cell r="AB12" t="str">
            <v>Egyéb</v>
          </cell>
        </row>
      </sheetData>
      <sheetData sheetId="8"/>
      <sheetData sheetId="9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vékenységek"/>
      <sheetName val="terv - épület neve"/>
      <sheetName val="Tervezési irányelvek"/>
      <sheetName val="épületek"/>
      <sheetName val="anyagcsoportok SAP-ban"/>
      <sheetName val="M-anyagcsoportok"/>
      <sheetName val="munkaszám"/>
      <sheetName val="technikai"/>
      <sheetName val="Munkaszám technikai"/>
    </sheetNames>
    <sheetDataSet>
      <sheetData sheetId="0">
        <row r="2">
          <cell r="H2" t="str">
            <v>nem bontható 2200 PPP konstrukcióhoz kapcs.</v>
          </cell>
        </row>
        <row r="3">
          <cell r="H3" t="str">
            <v>nem bontható Ing üzemelt nem bontható szerz</v>
          </cell>
        </row>
        <row r="4">
          <cell r="H4" t="str">
            <v>nem bontható Nem bontható üzemeltetési szerz. alapján végzett hibajavítás</v>
          </cell>
        </row>
        <row r="5">
          <cell r="H5" t="str">
            <v>nem bontható Nem bontható üzemeltetési szerz. alapján végzett eseti munkák</v>
          </cell>
        </row>
        <row r="8">
          <cell r="H8" t="str">
            <v>építészet Épület szerkezet karbantartás</v>
          </cell>
        </row>
        <row r="9">
          <cell r="H9" t="str">
            <v>építészet 2370 Építőmesteri munkák</v>
          </cell>
        </row>
        <row r="10">
          <cell r="H10" t="str">
            <v>építészet 2371 Szakipari munkák építészet</v>
          </cell>
        </row>
        <row r="11">
          <cell r="H11" t="str">
            <v>építészet Bútorjavítás</v>
          </cell>
        </row>
        <row r="12">
          <cell r="H12" t="str">
            <v>építészet 2404 Irányító-eligazító táblák, felirato</v>
          </cell>
        </row>
        <row r="13">
          <cell r="H13" t="str">
            <v>építészet 9297 Karbantartási anyag barkács egyéb(é</v>
          </cell>
        </row>
        <row r="14">
          <cell r="H14" t="str">
            <v>park,közmű és út 2372 Közművek karbantartása, kisjavítása</v>
          </cell>
        </row>
        <row r="15">
          <cell r="H15" t="str">
            <v>park,közmű és út 2378 Megújuló energiahasznosító berendez</v>
          </cell>
        </row>
        <row r="16">
          <cell r="H16" t="str">
            <v>park,közmű és út 2379 Víz.,csatornahálózat, HMV rendszer</v>
          </cell>
        </row>
        <row r="17">
          <cell r="H17" t="str">
            <v>park,közmű és út 2373 Utak, térburkolatok, parkolók</v>
          </cell>
        </row>
        <row r="18">
          <cell r="H18" t="str">
            <v>park,közmű és út parkosítás, növényvédelem</v>
          </cell>
        </row>
        <row r="19">
          <cell r="H19" t="str">
            <v>park,közmű és út kerti tároló karb jav</v>
          </cell>
        </row>
        <row r="21">
          <cell r="H21" t="str">
            <v>park,közmű és út 2374 Sportpályák</v>
          </cell>
        </row>
        <row r="22">
          <cell r="H22" t="str">
            <v>park,közmű és út 2375 Térvilágítás - épületen kívüli</v>
          </cell>
        </row>
        <row r="24">
          <cell r="H24" t="str">
            <v>technológiai berendezések Laboratórium karb jav</v>
          </cell>
        </row>
        <row r="25">
          <cell r="H25" t="str">
            <v>technológiai berendezések Könyvtár karb jav</v>
          </cell>
        </row>
        <row r="26">
          <cell r="H26" t="str">
            <v>technológiai berendezések Audiovizuális berendezések karb jav</v>
          </cell>
        </row>
        <row r="27">
          <cell r="H27" t="str">
            <v>elektromos munkák elektr energ ellátás, erősáram karb jav</v>
          </cell>
        </row>
        <row r="28">
          <cell r="H28" t="str">
            <v>elektromos munkák 2360 Akku karb.,javítás,csere</v>
          </cell>
        </row>
        <row r="29">
          <cell r="H29" t="str">
            <v>elektromos munkák 2376 Épületautomatika,épületfelügyelet</v>
          </cell>
        </row>
        <row r="30">
          <cell r="H30" t="str">
            <v>elektromos munkák Tűz és füstvédelem elektromos</v>
          </cell>
        </row>
        <row r="31">
          <cell r="H31" t="str">
            <v>elektromos munkák 2407 Elektromos biztonságtechnikai mérés</v>
          </cell>
        </row>
        <row r="32">
          <cell r="H32" t="str">
            <v>elektromos munkák Megújuló energiahasznosító ber karban, j</v>
          </cell>
        </row>
        <row r="33">
          <cell r="H33" t="str">
            <v>elektromos munkák 2367 Villamos karbantartás</v>
          </cell>
        </row>
        <row r="34">
          <cell r="H34" t="str">
            <v>elektromos munkák 2368 Villamos javítás</v>
          </cell>
        </row>
        <row r="35">
          <cell r="H35" t="str">
            <v>elektromos munkák 2369 Tűzjelző rendszer karbantartása, ki</v>
          </cell>
        </row>
        <row r="36">
          <cell r="H36" t="str">
            <v xml:space="preserve">elektromos munkák </v>
          </cell>
        </row>
        <row r="37">
          <cell r="H37" t="str">
            <v>elektromos munkák 2384 Kéziszerszámok érintésvédelmi felül</v>
          </cell>
        </row>
        <row r="38">
          <cell r="H38" t="str">
            <v>elektromos munkák 2361 Felvonó karbantartás</v>
          </cell>
        </row>
        <row r="39">
          <cell r="H39" t="str">
            <v>elektromos munkák 2362 Felvonó javítás</v>
          </cell>
        </row>
        <row r="40">
          <cell r="H40" t="str">
            <v>elektromos munkák 2406 Felvonó szakértői vizsgálat</v>
          </cell>
        </row>
        <row r="41">
          <cell r="H41" t="str">
            <v>elektromos munkák 2396 Tűz- és riasztás átjelzés díja</v>
          </cell>
        </row>
        <row r="42">
          <cell r="H42" t="str">
            <v>elektromos munkák 9293 Karbantartási anyag villanyszerelés</v>
          </cell>
        </row>
        <row r="43">
          <cell r="H43" t="str">
            <v>elektromos munkák Egyéb elektr berend karb jav munk</v>
          </cell>
        </row>
        <row r="44">
          <cell r="H44" t="str">
            <v>gépészet 2380 Fűtési rendszer és víz csat. hálóza</v>
          </cell>
        </row>
        <row r="45">
          <cell r="H45" t="str">
            <v>gépészet Ép gép szerelv berend karbjav</v>
          </cell>
        </row>
        <row r="46">
          <cell r="H46" t="str">
            <v>gépészet 2381 Szellőzőberendezések karbantartása,</v>
          </cell>
        </row>
        <row r="47">
          <cell r="H47" t="str">
            <v>gépészet 2382 Légkondícionáló berendezések karb-k</v>
          </cell>
        </row>
        <row r="48">
          <cell r="H48" t="str">
            <v>gépészet 2411 Tanuszoda üzemeltetési munkák</v>
          </cell>
        </row>
        <row r="49">
          <cell r="H49" t="str">
            <v>gépészet 2412 Uszoda víz vizsgálat</v>
          </cell>
        </row>
        <row r="50">
          <cell r="H50" t="str">
            <v>gépészet 2363 Gázérzékelő karbantartás</v>
          </cell>
        </row>
        <row r="51">
          <cell r="H51" t="str">
            <v>gépészet 2364 Kazán karbantartás</v>
          </cell>
        </row>
        <row r="52">
          <cell r="H52" t="str">
            <v>gépészet 2365 Kazán javítás</v>
          </cell>
        </row>
        <row r="53">
          <cell r="H53" t="str">
            <v>gépészet 2366 Kazán légsz.mérés</v>
          </cell>
        </row>
        <row r="54">
          <cell r="H54" t="str">
            <v>gépészet 2241 EgyGépHazKarbJavKtg</v>
          </cell>
        </row>
        <row r="55">
          <cell r="H55" t="str">
            <v>gépészet 9296 Karbantartási anyag épületgépészet</v>
          </cell>
        </row>
        <row r="56">
          <cell r="H56" t="str">
            <v>ing tisztántartása 2262 Takarítás rendszeres</v>
          </cell>
        </row>
        <row r="57">
          <cell r="H57" t="str">
            <v>ing tisztántartása 2394 Takarítás eseti</v>
          </cell>
        </row>
        <row r="58">
          <cell r="H58" t="str">
            <v>ing tisztántartása 2263 Kártevő mentesítés rendszeres</v>
          </cell>
        </row>
        <row r="59">
          <cell r="H59" t="str">
            <v>ing tisztántartása 2395 Kártevő mentesítés  eseti</v>
          </cell>
        </row>
        <row r="60">
          <cell r="H60" t="str">
            <v>ing tisztántartása 2408 Mosatási ktg.</v>
          </cell>
        </row>
        <row r="61">
          <cell r="H61" t="str">
            <v>ing tisztántartása 2210 Szőnyegbérlet</v>
          </cell>
        </row>
        <row r="62">
          <cell r="H62" t="str">
            <v>ing tisztántartása Üzi tisztítószer beszerz</v>
          </cell>
        </row>
        <row r="63">
          <cell r="H63" t="str">
            <v>ing tisztántartása 2410 Zsír- és olajfogó</v>
          </cell>
        </row>
        <row r="64">
          <cell r="H64" t="str">
            <v>porta, vagyonvéd 2398 Portaszolgálat, - élőerős</v>
          </cell>
        </row>
        <row r="65">
          <cell r="H65" t="str">
            <v>porta, vagyonvéd 2399 Őrzés-védelem - élőerős</v>
          </cell>
        </row>
        <row r="66">
          <cell r="H66" t="str">
            <v>porta, vagyonvéd 2400 Ruhatár</v>
          </cell>
        </row>
        <row r="67">
          <cell r="H67" t="str">
            <v>tűz és munkavédelem 2401 Munkavédelmi felelős, szakértői szo</v>
          </cell>
        </row>
        <row r="68">
          <cell r="H68" t="str">
            <v>tűz és munkavédelem 2403 Figyelmeztető táblák, feliratok fel</v>
          </cell>
        </row>
        <row r="69">
          <cell r="H69" t="str">
            <v>tűz és munkavédelem 2402 Tűzvédelmi felelős szakértői szolgá</v>
          </cell>
        </row>
        <row r="70">
          <cell r="H70" t="str">
            <v>tűz és munkavédelem 2385 Tűzoltókészülék karbantartása, javí</v>
          </cell>
        </row>
        <row r="71">
          <cell r="H71" t="str">
            <v>tűz és munkavédelem 2386 Tűzivízhálózat, túzcsapok vizhozam</v>
          </cell>
        </row>
        <row r="72">
          <cell r="H72" t="str">
            <v>tűz és munkavédelem 8200 EG12 Munkaruha</v>
          </cell>
        </row>
        <row r="73">
          <cell r="H73" t="str">
            <v>tűz és munkavédelem Védőruha</v>
          </cell>
        </row>
        <row r="74">
          <cell r="H74" t="str">
            <v xml:space="preserve">beruházás </v>
          </cell>
        </row>
        <row r="75">
          <cell r="H75" t="str">
            <v>közmű 1291 Villamosenergia-szolgálta</v>
          </cell>
        </row>
        <row r="76">
          <cell r="H76" t="str">
            <v>közmű 1292 Gázenergia-szolgáltatási</v>
          </cell>
        </row>
        <row r="77">
          <cell r="H77" t="str">
            <v>közmű 1293 Távho- és melegvíz-szolgáltatás</v>
          </cell>
        </row>
        <row r="78">
          <cell r="H78" t="str">
            <v>közmű 1294 Vízdíj</v>
          </cell>
        </row>
        <row r="79">
          <cell r="H79" t="str">
            <v>közmű 1296 Csatornadíjak</v>
          </cell>
        </row>
        <row r="80">
          <cell r="H80" t="str">
            <v>közmű 2265 Kéményseprési díjak költségei</v>
          </cell>
        </row>
        <row r="81">
          <cell r="H81" t="str">
            <v>közmű 2266 Egyéb szemétszállítási díjak költsé</v>
          </cell>
        </row>
        <row r="82">
          <cell r="H82" t="str">
            <v>közmű Energetikai tanácsadások</v>
          </cell>
        </row>
        <row r="83">
          <cell r="H83" t="str">
            <v>közmű 2264 Kommunális hulladékszállítás költsé</v>
          </cell>
        </row>
        <row r="84">
          <cell r="H84" t="str">
            <v>közmű Szeméttároló bérlés, lízing</v>
          </cell>
        </row>
        <row r="85">
          <cell r="H85" t="str">
            <v>hatdíj, illeték hatósági díjak, illetékek</v>
          </cell>
        </row>
        <row r="86">
          <cell r="H86" t="str">
            <v>hatdíj, illeték 2405 Közös költség</v>
          </cell>
        </row>
        <row r="87">
          <cell r="H87" t="str">
            <v>gkj 6200 Üzemanyag gépjárműbe</v>
          </cell>
        </row>
        <row r="88">
          <cell r="H88" t="str">
            <v>gkj 6201 üzemanyag kerti gépbe</v>
          </cell>
        </row>
        <row r="89">
          <cell r="H89" t="str">
            <v>gkj 6202 egyéb hajtó- és kenőanyagok gépjárm</v>
          </cell>
        </row>
        <row r="90">
          <cell r="H90" t="str">
            <v>gkj 6203 egyéb hajtó- és kenőanyagok kerti g</v>
          </cell>
        </row>
        <row r="91">
          <cell r="H91" t="str">
            <v>gkj Szgk. Karban anyagok</v>
          </cell>
        </row>
        <row r="92">
          <cell r="H92" t="str">
            <v>gkj 2243 SzgjHazKarKisjKtg</v>
          </cell>
        </row>
        <row r="93">
          <cell r="H93" t="str">
            <v xml:space="preserve">gkj </v>
          </cell>
        </row>
        <row r="94">
          <cell r="H94" t="str">
            <v>gkj 2280 Kötelező gépjármű felelősségbiztosí</v>
          </cell>
        </row>
        <row r="95">
          <cell r="H95" t="str">
            <v>gkj 2281 CASCO költségei</v>
          </cell>
        </row>
        <row r="96">
          <cell r="H96" t="str">
            <v>gkj Autópálya, úthaszn. és parkolási díjak</v>
          </cell>
        </row>
        <row r="97">
          <cell r="H97" t="str">
            <v>gkj 2409 Gépkocsi mosatás</v>
          </cell>
        </row>
        <row r="98">
          <cell r="H98" t="str">
            <v>gkj 2272 AnyagÁruSzállítKtg</v>
          </cell>
        </row>
        <row r="99">
          <cell r="H99" t="str">
            <v>gkj 2391 selejtszállítás</v>
          </cell>
        </row>
        <row r="100">
          <cell r="H100" t="str">
            <v>gkj 2344 Egyéb különf.ráford(gép.köt vizs,kö</v>
          </cell>
        </row>
        <row r="101">
          <cell r="H101" t="str">
            <v>gkj 2214 Személygépjármű lízing díj költsége</v>
          </cell>
        </row>
        <row r="102">
          <cell r="H102" t="str">
            <v>gkj 2216 Személygépjármű bérleti díj költség</v>
          </cell>
        </row>
        <row r="103">
          <cell r="H103" t="str">
            <v>üdülő 2397 gondnoki tevékenység(Visegrád)</v>
          </cell>
        </row>
        <row r="104">
          <cell r="H104" t="str">
            <v>üdülő 2291 TV előfizetési díj</v>
          </cell>
        </row>
        <row r="105">
          <cell r="H105" t="str">
            <v>biztosítás 2388 Központi felelősségbiztosítás</v>
          </cell>
        </row>
        <row r="106">
          <cell r="H106" t="str">
            <v>biztosítás 2318 Központilag fizetett vagyonbiztosít</v>
          </cell>
        </row>
        <row r="107">
          <cell r="H107" t="str">
            <v>biztosítás 2389 Lektori lakások biztosítása</v>
          </cell>
        </row>
        <row r="108">
          <cell r="H108" t="str">
            <v>biztosítás 2390 egyéb felelősségbizt.</v>
          </cell>
        </row>
        <row r="109">
          <cell r="H109" t="str">
            <v>biztosítás 2283 Helyi szinten fizetett vagyonbiztos</v>
          </cell>
        </row>
        <row r="110">
          <cell r="H110" t="str">
            <v>bérlet,lízing 2202 Egyéb gépek bérleti és lízing díj k</v>
          </cell>
        </row>
        <row r="111">
          <cell r="H111" t="str">
            <v>bérlet,lízing 2206 Ingatlan bérleti díj - szállás diák</v>
          </cell>
        </row>
        <row r="112">
          <cell r="H112" t="str">
            <v>bérlet,lízing 2207 Ingatlan bérleti díj - iroda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agram1"/>
      <sheetName val="kv.várható.köz.2001"/>
      <sheetName val="kv.várható.köz.2001.inf."/>
      <sheetName val="kv.várható.köz.2002.inf. "/>
      <sheetName val="kv.várható.köz.2003."/>
      <sheetName val="kv.várható.köz.2004."/>
      <sheetName val="kv.várható.köz.2004.Mód. "/>
      <sheetName val="kv.várható.köz.2005"/>
      <sheetName val="SB"/>
    </sheetNames>
    <sheetDataSet>
      <sheetData sheetId="0" refreshError="1"/>
      <sheetData sheetId="1">
        <row r="1">
          <cell r="B1" t="str">
            <v>Távhő</v>
          </cell>
          <cell r="F1" t="str">
            <v>Földgáz</v>
          </cell>
          <cell r="M1" t="str">
            <v xml:space="preserve"> Villamosenergia</v>
          </cell>
          <cell r="Q1" t="str">
            <v>Energia összesen</v>
          </cell>
          <cell r="T1" t="str">
            <v>Víz, csatorna</v>
          </cell>
          <cell r="X1" t="str">
            <v>Szippantás</v>
          </cell>
          <cell r="AA1" t="str">
            <v>Kéményseprés</v>
          </cell>
          <cell r="AD1" t="str">
            <v>Közmű összesen</v>
          </cell>
          <cell r="AG1" t="str">
            <v xml:space="preserve"> Telefon</v>
          </cell>
          <cell r="AJ1" t="str">
            <v>Mindösszesen</v>
          </cell>
        </row>
        <row r="3">
          <cell r="A3" t="str">
            <v>Tanulmányi ép.konyhák****</v>
          </cell>
        </row>
        <row r="4">
          <cell r="A4" t="str">
            <v xml:space="preserve">Óvoda-bölcsőde  </v>
          </cell>
        </row>
        <row r="5">
          <cell r="A5" t="str">
            <v>Gödi Okt.Közp.</v>
          </cell>
        </row>
        <row r="6">
          <cell r="A6" t="str">
            <v>B.Kenese MT</v>
          </cell>
        </row>
        <row r="7">
          <cell r="A7" t="str">
            <v>Hauszmann A. u.</v>
          </cell>
        </row>
        <row r="8">
          <cell r="A8" t="str">
            <v>Egyetem okt.ép.össz.:</v>
          </cell>
        </row>
        <row r="9">
          <cell r="A9" t="str">
            <v>Bogdánffy u.Sporttelep</v>
          </cell>
        </row>
        <row r="10">
          <cell r="A10" t="str">
            <v>Informatika épület *</v>
          </cell>
        </row>
        <row r="11">
          <cell r="A11" t="str">
            <v>Informatika Bme 2/3 **</v>
          </cell>
        </row>
        <row r="12">
          <cell r="A12" t="str">
            <v>Informatika Elte 1/3***</v>
          </cell>
        </row>
        <row r="13">
          <cell r="A13" t="str">
            <v>1.Egyetem összesen</v>
          </cell>
        </row>
        <row r="14">
          <cell r="A14" t="str">
            <v>Baross Koll.</v>
          </cell>
        </row>
        <row r="15">
          <cell r="A15" t="str">
            <v>Bercsényi Koll.</v>
          </cell>
        </row>
        <row r="16">
          <cell r="A16" t="str">
            <v>Kármán Koll.</v>
          </cell>
        </row>
        <row r="17">
          <cell r="A17" t="str">
            <v>Martos Koll.</v>
          </cell>
        </row>
        <row r="18">
          <cell r="A18" t="str">
            <v>Schönherz Koll.</v>
          </cell>
        </row>
        <row r="19">
          <cell r="A19" t="str">
            <v>Vásárhelyi Koll</v>
          </cell>
        </row>
        <row r="20">
          <cell r="A20" t="str">
            <v xml:space="preserve">Wigner Koll. </v>
          </cell>
        </row>
        <row r="21">
          <cell r="A21" t="str">
            <v>2.Kollégium össz.:</v>
          </cell>
        </row>
        <row r="22">
          <cell r="A22" t="str">
            <v>3. B.Lelle ifj.Tábor</v>
          </cell>
        </row>
        <row r="23">
          <cell r="A23" t="str">
            <v>1,2,3,Összesen</v>
          </cell>
        </row>
        <row r="25">
          <cell r="A25" t="str">
            <v>A Hauszmann A.u-i sporttelep költségeit MAFC téríti.</v>
          </cell>
        </row>
        <row r="26">
          <cell r="A26" t="str">
            <v>* Informatika épület a BME -hez beérkezett  számlák alapján 2000.évi felhasznált teljes épületre vonatkozó hőmennyiségek szerepelnek.</v>
          </cell>
        </row>
        <row r="27">
          <cell r="A27" t="str">
            <v>**és*** jelölt Informatika vizszintes sorokban szereplő természetes mértékegységek és forint összegek mennyiségei az 1.Egyetem összesen sor adataiban nem szerepelnek.</v>
          </cell>
        </row>
        <row r="28">
          <cell r="A28" t="str">
            <v>****A földgáz természetes mértékegység mennyiségénél az 1999.évről 2000.évre áthuzódó ki nem fizetett számla ,valamint fogyasztás mérők név átírása miatti csökkentett mennyiség lett figyelembe véve.</v>
          </cell>
        </row>
        <row r="29">
          <cell r="A29" t="str">
            <v>(Kármán,Martos koll. földgáz felhasználás a gázkazán miatti vetített mennyiség)</v>
          </cell>
        </row>
        <row r="30">
          <cell r="A30" t="str">
            <v>Az Informatika épület víz-csatorna ill.villamosenergia díjakat ELTE fizeti.</v>
          </cell>
        </row>
      </sheetData>
      <sheetData sheetId="2"/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szám"/>
      <sheetName val="épület neve"/>
      <sheetName val="Tervezésui irányelvek"/>
      <sheetName val="épületek"/>
      <sheetName val="M-anyagcsoportok"/>
      <sheetName val="tevékenységek"/>
      <sheetName val="technikai"/>
      <sheetName val="Munkaszám technikai"/>
      <sheetName val="mátrix"/>
    </sheetNames>
    <sheetDataSet>
      <sheetData sheetId="0">
        <row r="1">
          <cell r="A1" t="str">
            <v>A15001/16 ÁJK üzemeltetés</v>
          </cell>
        </row>
        <row r="2">
          <cell r="A2" t="str">
            <v>B15001/16 PPKüzemeltetés</v>
          </cell>
        </row>
        <row r="3">
          <cell r="A3" t="str">
            <v>C15001/16 BTK üzemeltetés</v>
          </cell>
        </row>
        <row r="4">
          <cell r="A4" t="str">
            <v>D15001/16 TTK üzemeltetés</v>
          </cell>
        </row>
        <row r="5">
          <cell r="A5" t="str">
            <v>E15001/16 IK üzemeltetés</v>
          </cell>
        </row>
        <row r="6">
          <cell r="A6" t="str">
            <v>F15001/16 TÁTK üzemeltetés</v>
          </cell>
        </row>
        <row r="7">
          <cell r="A7" t="str">
            <v>G15001/16 BGGYK üzemeltetés</v>
          </cell>
        </row>
        <row r="8">
          <cell r="A8" t="str">
            <v>H15001/16 TÓK üzemeltetés</v>
          </cell>
        </row>
        <row r="9">
          <cell r="A9" t="str">
            <v>S12401/16 Füvészkert üzemeltetés</v>
          </cell>
        </row>
        <row r="10">
          <cell r="A10" t="str">
            <v>S13201/16 Gothard Obsz.üzemeltetés</v>
          </cell>
        </row>
        <row r="11">
          <cell r="A11" t="str">
            <v>S14102/16 Tatai Geológus Kert üzemeltetés</v>
          </cell>
        </row>
        <row r="12">
          <cell r="A12" t="str">
            <v>R14202/16 Bibó István Szakkoll üzemeltetés</v>
          </cell>
        </row>
        <row r="13">
          <cell r="A13" t="str">
            <v>R14402/16 Eötvös József Collegüzemeltetés</v>
          </cell>
        </row>
        <row r="14">
          <cell r="A14" t="str">
            <v>R15102/16 Egyetemi Könyvtár, levéltárüzemelt</v>
          </cell>
        </row>
        <row r="15">
          <cell r="A15" t="str">
            <v>N13002/16 KCSSK üzemeltetés</v>
          </cell>
        </row>
        <row r="16">
          <cell r="A16" t="str">
            <v>N13102/16 NUKüzemeltetés</v>
          </cell>
        </row>
        <row r="17">
          <cell r="A17" t="str">
            <v>N13202/16 NFKüzemeltetés</v>
          </cell>
        </row>
        <row r="18">
          <cell r="A18" t="str">
            <v>N13302/16 VUKüzemeltetés</v>
          </cell>
        </row>
        <row r="19">
          <cell r="A19" t="str">
            <v>N13402/16 ADKüzemeltetés</v>
          </cell>
        </row>
        <row r="20">
          <cell r="A20" t="str">
            <v>N13502/16 KUKüzemeltetés</v>
          </cell>
        </row>
        <row r="21">
          <cell r="A21" t="str">
            <v>N13602/16 DUKüzemeltetés</v>
          </cell>
        </row>
        <row r="22">
          <cell r="A22" t="str">
            <v>N13802/16 MÁSZ-Kunigunda üzemeltetés</v>
          </cell>
        </row>
        <row r="23">
          <cell r="A23" t="str">
            <v>N13902/16 MÁSZ-Debrecen üzemeltetés</v>
          </cell>
        </row>
        <row r="24">
          <cell r="A24" t="str">
            <v>N14002/16 MÁSZ-Pécs üzemeltetés</v>
          </cell>
        </row>
        <row r="25">
          <cell r="A25" t="str">
            <v>N14102/16 MÁSZ-Szeged üzemeltetés</v>
          </cell>
        </row>
        <row r="26">
          <cell r="A26" t="str">
            <v>K02001/17 Damjanich üzemeltetés</v>
          </cell>
        </row>
        <row r="27">
          <cell r="A27" t="str">
            <v>K02002/17 Kecskemétiüzemeltetés</v>
          </cell>
        </row>
        <row r="28">
          <cell r="A28" t="str">
            <v>K02201/16 Lágymányosi üzemeltetés</v>
          </cell>
        </row>
        <row r="29">
          <cell r="A29" t="str">
            <v>K02601/16 Gépjármű üzemeltetés</v>
          </cell>
        </row>
        <row r="30">
          <cell r="A30" t="str">
            <v>K02701/16 Üdülők üzemeltetése</v>
          </cell>
        </row>
        <row r="31">
          <cell r="A31" t="str">
            <v>K04802/16 lektori lakások üzemeltetése</v>
          </cell>
        </row>
        <row r="32">
          <cell r="A32" t="str">
            <v>N14401/17 SEK üzemeltetés</v>
          </cell>
        </row>
        <row r="33">
          <cell r="A33" t="str">
            <v>N14403/17 SEKgépjármű üzemeltetés</v>
          </cell>
        </row>
      </sheetData>
      <sheetData sheetId="1"/>
      <sheetData sheetId="2"/>
      <sheetData sheetId="3">
        <row r="1">
          <cell r="F1" t="str">
            <v>EFD10 6 Nagyrákos Nemesszer u. 8.</v>
          </cell>
        </row>
      </sheetData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talványrendelet 50-ig"/>
      <sheetName val="Utalványrendelet 12-ig"/>
      <sheetName val="Visszaigazolt számlák"/>
      <sheetName val="háttér adatbázis"/>
      <sheetName val="szam-szoveg"/>
      <sheetName val="szam-szoveg (2)"/>
      <sheetName val="fhelyek"/>
      <sheetName val="mero gyari szamok"/>
      <sheetName val="Átadás-átvétel"/>
    </sheetNames>
    <sheetDataSet>
      <sheetData sheetId="0" refreshError="1"/>
      <sheetData sheetId="1" refreshError="1"/>
      <sheetData sheetId="2" refreshError="1"/>
      <sheetData sheetId="3">
        <row r="1">
          <cell r="A1" t="str">
            <v>Bankszámlaszáma</v>
          </cell>
        </row>
        <row r="2">
          <cell r="M2" t="str">
            <v>villamos energia</v>
          </cell>
          <cell r="Y2" t="str">
            <v>éves elszámoló számla</v>
          </cell>
        </row>
        <row r="3">
          <cell r="M3" t="str">
            <v>földgáz</v>
          </cell>
        </row>
        <row r="4">
          <cell r="H4" t="str">
            <v>Szerb u. 21.</v>
          </cell>
          <cell r="M4" t="str">
            <v>vízszolgáltatás</v>
          </cell>
        </row>
        <row r="5">
          <cell r="H5" t="str">
            <v>Szerb u. 23.</v>
          </cell>
          <cell r="M5" t="str">
            <v>csatorna</v>
          </cell>
        </row>
        <row r="6">
          <cell r="H6" t="str">
            <v>Királyi P. u.</v>
          </cell>
          <cell r="M6" t="str">
            <v>távhő</v>
          </cell>
        </row>
        <row r="7">
          <cell r="M7" t="str">
            <v>kémény</v>
          </cell>
        </row>
        <row r="8">
          <cell r="H8" t="str">
            <v>Kecskeméti u. 10.</v>
          </cell>
          <cell r="M8" t="str">
            <v>szemét</v>
          </cell>
        </row>
        <row r="9">
          <cell r="H9" t="str">
            <v>Kecskeméti u. 10. Magyar u.</v>
          </cell>
        </row>
        <row r="10">
          <cell r="H10" t="str">
            <v>Kecskeméti u. 10. HÖK</v>
          </cell>
        </row>
        <row r="11">
          <cell r="H11" t="str">
            <v>Egyetem tér 1-3</v>
          </cell>
        </row>
        <row r="12">
          <cell r="H12" t="str">
            <v>Ferenciek tere 10..</v>
          </cell>
        </row>
        <row r="13">
          <cell r="H13" t="str">
            <v>Szerb u. 3.</v>
          </cell>
        </row>
        <row r="15">
          <cell r="H15" t="str">
            <v>Gerlóczy u.</v>
          </cell>
        </row>
        <row r="16">
          <cell r="H16" t="str">
            <v>Gerlóczy u.</v>
          </cell>
        </row>
        <row r="17">
          <cell r="H17" t="str">
            <v>Gerlóczy u.</v>
          </cell>
        </row>
        <row r="18">
          <cell r="H18" t="str">
            <v>Izabella u. 46.</v>
          </cell>
        </row>
        <row r="20">
          <cell r="H20" t="str">
            <v>Papnövelde u. 4-6. (Cukor utca 6)</v>
          </cell>
        </row>
        <row r="21">
          <cell r="H21" t="str">
            <v>Papnövelde u. 4-6.</v>
          </cell>
        </row>
        <row r="22">
          <cell r="H22" t="str">
            <v>Trefort kert</v>
          </cell>
        </row>
        <row r="23">
          <cell r="H23" t="str">
            <v>Múzeum krt. 4/a</v>
          </cell>
        </row>
        <row r="24">
          <cell r="H24" t="str">
            <v>Múzeum krt. 4/b-c</v>
          </cell>
        </row>
        <row r="25">
          <cell r="H25" t="str">
            <v>Múzeum krt. 6-8.</v>
          </cell>
        </row>
        <row r="26">
          <cell r="H26" t="str">
            <v>Puskin u. 3.</v>
          </cell>
        </row>
        <row r="27">
          <cell r="H27" t="str">
            <v>Puskin u. 5-7.</v>
          </cell>
        </row>
        <row r="28">
          <cell r="H28" t="str">
            <v>Puskin u. 9. "SOTE"</v>
          </cell>
        </row>
        <row r="29">
          <cell r="H29" t="str">
            <v>Puskin u. 11-13.</v>
          </cell>
        </row>
        <row r="30">
          <cell r="H30" t="str">
            <v>Gólyavár</v>
          </cell>
        </row>
        <row r="31">
          <cell r="H31" t="str">
            <v>Múzeum krt. 6-8. "Ifj."</v>
          </cell>
        </row>
        <row r="32">
          <cell r="H32" t="str">
            <v>Trefort u. 8.</v>
          </cell>
        </row>
        <row r="33">
          <cell r="H33" t="str">
            <v>Kazinczy u. 23-27.</v>
          </cell>
        </row>
        <row r="34">
          <cell r="H34" t="str">
            <v>Rigó u. ITK</v>
          </cell>
        </row>
        <row r="35">
          <cell r="H35" t="str">
            <v>Rákóczi u. 5.</v>
          </cell>
        </row>
        <row r="36">
          <cell r="H36" t="str">
            <v>Ajtósi Dürer sor 23 (ADS koll)</v>
          </cell>
        </row>
        <row r="37">
          <cell r="H37" t="str">
            <v>Cházár A. u. 10.</v>
          </cell>
        </row>
        <row r="38">
          <cell r="H38" t="str">
            <v>Vezér u. 112. "koll."</v>
          </cell>
        </row>
        <row r="39">
          <cell r="H39" t="str">
            <v>Pázmány P.</v>
          </cell>
        </row>
        <row r="40">
          <cell r="H40" t="str">
            <v>Pázmány P. 2/a "É:"</v>
          </cell>
        </row>
        <row r="41">
          <cell r="H41" t="str">
            <v>Pázmány P. 3/a "D"</v>
          </cell>
        </row>
        <row r="42">
          <cell r="H42" t="str">
            <v>Pázmány P. 1/b "V"</v>
          </cell>
        </row>
        <row r="43">
          <cell r="H43" t="str">
            <v>Pázmány P. 1/c "I"</v>
          </cell>
        </row>
        <row r="44">
          <cell r="H44" t="str">
            <v>Pázmány P. 3 "PED"</v>
          </cell>
        </row>
        <row r="45">
          <cell r="H45" t="str">
            <v>Bogdánfi u.10/b "Bar"</v>
          </cell>
        </row>
        <row r="46">
          <cell r="H46" t="str">
            <v>Mérnök u. csarnok</v>
          </cell>
        </row>
        <row r="48">
          <cell r="H48" t="str">
            <v>Bogdánfi u. 10/a"Sportcsarnok"</v>
          </cell>
        </row>
        <row r="49">
          <cell r="H49" t="str">
            <v>Bogdánfi u. 10/a"Öltöző"</v>
          </cell>
        </row>
        <row r="50">
          <cell r="H50" t="str">
            <v>Bogdánfi u. 10/a"Porta"</v>
          </cell>
        </row>
        <row r="51">
          <cell r="H51" t="str">
            <v>Bogdánfi u. 10/a"Barakk"</v>
          </cell>
        </row>
        <row r="52">
          <cell r="H52" t="str">
            <v>Ménesi u. 12. "koll."</v>
          </cell>
        </row>
        <row r="53">
          <cell r="H53" t="str">
            <v>Ménesi u. 11-13."coll."</v>
          </cell>
        </row>
        <row r="54">
          <cell r="H54" t="str">
            <v>Dajka G.u.4.</v>
          </cell>
        </row>
        <row r="55">
          <cell r="H55" t="str">
            <v>Dajka G. u. 4. Kőrösi "A"</v>
          </cell>
        </row>
        <row r="56">
          <cell r="H56" t="str">
            <v>Dajka G. u. 4. Kőrösi "B"</v>
          </cell>
        </row>
        <row r="57">
          <cell r="H57" t="str">
            <v>Dajka G. u. 4. Kőrösi "C"</v>
          </cell>
        </row>
        <row r="58">
          <cell r="H58" t="str">
            <v>Dajka G. u. 4. Kőrösi "D"</v>
          </cell>
        </row>
        <row r="59">
          <cell r="H59" t="str">
            <v>Dajka G. u. 4. Kőrösi "nyaktag"</v>
          </cell>
        </row>
        <row r="61">
          <cell r="H61" t="str">
            <v>Nagytétényi u.162"A"</v>
          </cell>
        </row>
        <row r="62">
          <cell r="H62" t="str">
            <v>Nagytétényi u.162"B"</v>
          </cell>
        </row>
        <row r="63">
          <cell r="H63" t="str">
            <v>Nagytétényi u.162"C"</v>
          </cell>
        </row>
        <row r="64">
          <cell r="H64" t="str">
            <v>Nagytétényi u.162"D"</v>
          </cell>
        </row>
        <row r="65">
          <cell r="H65" t="str">
            <v>Nándorfejérvári u. 13</v>
          </cell>
        </row>
        <row r="66">
          <cell r="H66" t="str">
            <v>Illés u. 25. "Botanikus"</v>
          </cell>
        </row>
        <row r="67">
          <cell r="H67" t="str">
            <v>Jávorka u. 14</v>
          </cell>
        </row>
        <row r="69">
          <cell r="H69" t="str">
            <v>Szt. Imre Herceg u.112. Obsz.</v>
          </cell>
        </row>
        <row r="70">
          <cell r="H70" t="str">
            <v>Szt. Imre Herceg u.112. Kupola</v>
          </cell>
        </row>
        <row r="71">
          <cell r="H71" t="str">
            <v>Szt. Imre Herceg u.112. Szem.</v>
          </cell>
        </row>
        <row r="72">
          <cell r="H72" t="str">
            <v>Visegrád Fő u. 117</v>
          </cell>
        </row>
        <row r="74">
          <cell r="H74" t="str">
            <v>Kikötő u. 6. Közp.</v>
          </cell>
        </row>
        <row r="75">
          <cell r="H75" t="str">
            <v>Kikötő u. 6. Faház</v>
          </cell>
        </row>
        <row r="77">
          <cell r="H77" t="str">
            <v>Maglódi út 8.  Levéltár</v>
          </cell>
        </row>
        <row r="78">
          <cell r="H78" t="str">
            <v>Maglódi út 8. Raktár</v>
          </cell>
        </row>
        <row r="79">
          <cell r="H79" t="str">
            <v>Kerekes u. "koll."</v>
          </cell>
        </row>
        <row r="80">
          <cell r="H80" t="str">
            <v>Vízisport u. 48</v>
          </cell>
        </row>
        <row r="81">
          <cell r="H81" t="str">
            <v>Kisfaludi üdülőtelep</v>
          </cell>
        </row>
        <row r="82">
          <cell r="H82" t="str">
            <v>Tata</v>
          </cell>
        </row>
        <row r="83">
          <cell r="H83" t="str">
            <v>Bugac</v>
          </cell>
        </row>
        <row r="84">
          <cell r="H84" t="str">
            <v>Ecseri u. 10.</v>
          </cell>
        </row>
        <row r="85">
          <cell r="H85" t="str">
            <v>Damjanich u. 41-43.</v>
          </cell>
        </row>
        <row r="86">
          <cell r="H86" t="str">
            <v>Kiss J. alt.40. "telep"</v>
          </cell>
        </row>
        <row r="87">
          <cell r="H87" t="str">
            <v>Kiss J. alt.40. "A"</v>
          </cell>
        </row>
        <row r="88">
          <cell r="H88" t="str">
            <v>Kiss J. alt. 40."Gy.I."</v>
          </cell>
        </row>
        <row r="89">
          <cell r="H89" t="str">
            <v>Csörsz u.."Gy.O."</v>
          </cell>
        </row>
        <row r="90">
          <cell r="H90" t="str">
            <v>Kiss J. alt. 29."Gy.O."</v>
          </cell>
        </row>
        <row r="91">
          <cell r="H91" t="str">
            <v>Bezerédi u. 16/a</v>
          </cell>
        </row>
        <row r="93">
          <cell r="H93" t="str">
            <v>Kiss J. alt. 31</v>
          </cell>
        </row>
        <row r="94">
          <cell r="H94" t="str">
            <v>Beethoven u. 3</v>
          </cell>
        </row>
        <row r="95">
          <cell r="H95" t="str">
            <v>Nagyrákos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m"/>
      <sheetName val="Utalványrendelet 50-ig"/>
      <sheetName val="Utalványrendelet 12-ig"/>
      <sheetName val="Visszaigazolt számlák"/>
      <sheetName val="háttér adatbázis"/>
      <sheetName val="Átadás-átvétel fekvő"/>
      <sheetName val="Átadás-átvétel fekvő (érték)"/>
      <sheetName val="Kifizetések segédlet"/>
      <sheetName val="Utólagos rögzítések"/>
      <sheetName val="Utalványrendelet 15-ig (demo)"/>
      <sheetName val="szam-szoveg"/>
      <sheetName val="szam-szoveg (2)"/>
    </sheetNames>
    <sheetDataSet>
      <sheetData sheetId="0"/>
      <sheetData sheetId="1"/>
      <sheetData sheetId="2"/>
      <sheetData sheetId="3"/>
      <sheetData sheetId="4">
        <row r="2">
          <cell r="M2" t="str">
            <v>villamos energia</v>
          </cell>
        </row>
        <row r="3">
          <cell r="M3" t="str">
            <v>földgáz</v>
          </cell>
        </row>
        <row r="4">
          <cell r="M4" t="str">
            <v>vízszolgáltatás</v>
          </cell>
        </row>
        <row r="5">
          <cell r="M5" t="str">
            <v>csatorna</v>
          </cell>
        </row>
        <row r="6">
          <cell r="M6" t="str">
            <v>távhő</v>
          </cell>
        </row>
        <row r="7">
          <cell r="M7" t="str">
            <v>kémény</v>
          </cell>
        </row>
        <row r="8">
          <cell r="M8" t="str">
            <v>szemét</v>
          </cell>
        </row>
        <row r="9">
          <cell r="M9" t="str">
            <v>késedelmi kamat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épületek"/>
      <sheetName val="mátrix"/>
      <sheetName val="terv - épület neve"/>
      <sheetName val="Tervezési irányelvek"/>
      <sheetName val="anyagcsoportok SAP-ban"/>
      <sheetName val="M-anyagcsoportok"/>
      <sheetName val="tevékenységek"/>
      <sheetName val="munkaszám"/>
      <sheetName val="technikai"/>
      <sheetName val="Munkaszám technikai"/>
    </sheetNames>
    <sheetDataSet>
      <sheetData sheetId="0">
        <row r="3">
          <cell r="F3" t="str">
            <v>EA100 24041 Budapest V. Szerb u. 21.</v>
          </cell>
        </row>
        <row r="4">
          <cell r="F4" t="str">
            <v>EA200 24150 Budapest V. Kecskeméti u. 10-12.</v>
          </cell>
        </row>
        <row r="5">
          <cell r="F5" t="str">
            <v>EA200 24150 Budapest V. Kecskeméti u. 10-12.</v>
          </cell>
        </row>
        <row r="6">
          <cell r="F6" t="str">
            <v>EA300 24037/2 Budapest V. Egyetem tér 1-3.</v>
          </cell>
        </row>
        <row r="7">
          <cell r="F7" t="str">
            <v>EA350  Budapest V. Egyetem tér 5.</v>
          </cell>
        </row>
        <row r="8">
          <cell r="F8" t="str">
            <v>EA400 24186 Budapest V. Ferenciek tere 6-10.</v>
          </cell>
        </row>
        <row r="9">
          <cell r="F9" t="str">
            <v>EA500 23950 Budapest V. Szerb u. 3.</v>
          </cell>
        </row>
        <row r="10">
          <cell r="F10" t="str">
            <v>EA600 24036 Budapest V. Papnövelde u.7.</v>
          </cell>
        </row>
        <row r="11">
          <cell r="F11" t="str">
            <v>EA700 29507 Budapest VI. Izabella u. 46.</v>
          </cell>
        </row>
        <row r="12">
          <cell r="F12" t="str">
            <v>EA800 24105/0/A/7 Budapest V. Képíró u. 8., III/1.</v>
          </cell>
        </row>
        <row r="13">
          <cell r="F13" t="str">
            <v>EA900 24019 Budapest V. Papnövelde u. 4-6.</v>
          </cell>
        </row>
        <row r="14">
          <cell r="F14" t="str">
            <v>EB110 36558/5 A Budapest VIII. Múzeum krt. 4/a.</v>
          </cell>
        </row>
        <row r="15">
          <cell r="F15" t="str">
            <v>EB120 36558/5 B-C Budapest VIII. Múzeum krt. 4/b-c.</v>
          </cell>
        </row>
        <row r="16">
          <cell r="F16" t="str">
            <v>EB130 36558/5 Gólyavár Budapest VIII. Múzeum krt. 6-8.</v>
          </cell>
        </row>
        <row r="17">
          <cell r="F17" t="str">
            <v>EB130 36558/5 Ifjusági Budapest VIII. Múzeum krt. 6-8.</v>
          </cell>
        </row>
        <row r="18">
          <cell r="F18" t="str">
            <v>EB130 36558/5 Főépület Budapest VIII. Múzeum krt. 6-8.</v>
          </cell>
        </row>
        <row r="19">
          <cell r="F19" t="str">
            <v>EB140 36558/5 I Budapest VIII. Puskin u. 3.</v>
          </cell>
        </row>
        <row r="20">
          <cell r="F20" t="str">
            <v>EB150 36558/5 D Budapest VIII. Puskin u. 5-7.</v>
          </cell>
        </row>
        <row r="21">
          <cell r="F21" t="str">
            <v>EB160 36558/5 E Budapest VIII. Puskin u. 9.</v>
          </cell>
        </row>
        <row r="22">
          <cell r="F22" t="str">
            <v>EB170 36558/5 F Budapest VIII. Puskin u. 11-13.</v>
          </cell>
        </row>
        <row r="23">
          <cell r="F23" t="str">
            <v>EB200 36539 Budapest VIII. Trefort u. 6-8.</v>
          </cell>
        </row>
        <row r="24">
          <cell r="F24" t="str">
            <v>EB300 34263 Budapest VII. Kazinczy u. 23-27.</v>
          </cell>
        </row>
        <row r="25">
          <cell r="F25" t="str">
            <v>EB400 35214 Budapest VIII. Rigó u. 16.</v>
          </cell>
        </row>
        <row r="26">
          <cell r="F26" t="str">
            <v>EB900 36556 RA 5 Budapest VIII. Rákóczi út 5.</v>
          </cell>
        </row>
        <row r="27">
          <cell r="F27" t="str">
            <v>EC210 32705 Budapest XIV. Ajtósi Dürer sor 23.</v>
          </cell>
        </row>
        <row r="28">
          <cell r="F28" t="str">
            <v>EC410 32745 Budapest XIV. CházárA. u. 10.</v>
          </cell>
        </row>
        <row r="29">
          <cell r="F29" t="str">
            <v xml:space="preserve">EC510 39738 Budapest XIV. Vezér u. 112-114. </v>
          </cell>
        </row>
        <row r="30">
          <cell r="F30" t="str">
            <v>ED100 4082/31 Budapest XI. Pázmány s. 1/A.</v>
          </cell>
        </row>
        <row r="31">
          <cell r="F31" t="str">
            <v>ED200 4082/23 Budapest XI. Bogdánfy u. 10/A.</v>
          </cell>
        </row>
        <row r="32">
          <cell r="F32" t="str">
            <v>ED300 681576 Budapest XI. Mérnök u. 35.</v>
          </cell>
        </row>
        <row r="33">
          <cell r="F33" t="str">
            <v>ED500 4082/26 Budapest XI. Bogdánfy u. 10/B.</v>
          </cell>
        </row>
        <row r="34">
          <cell r="F34" t="str">
            <v>EE110 4968 Budapest XI. Ménesi út 12.</v>
          </cell>
        </row>
        <row r="35">
          <cell r="F35" t="str">
            <v>EE200 5069 EJC Budapest XI. Ménesi út 11-13.</v>
          </cell>
        </row>
        <row r="36">
          <cell r="F36" t="str">
            <v>EE300 245505 Budapest XI. Dayka G. u. 4.</v>
          </cell>
        </row>
        <row r="37">
          <cell r="F37" t="str">
            <v>EE400 228805 Budapest XXII. Nagytétényi út 162-164.</v>
          </cell>
        </row>
        <row r="38">
          <cell r="F38" t="str">
            <v>EE500 725068 NFK Budapest XI. Nándorfejérvári út 13</v>
          </cell>
        </row>
        <row r="39">
          <cell r="F39" t="str">
            <v>EE710 18777 MÁSZ Budapest III.  Kunigunda útja 35.</v>
          </cell>
        </row>
        <row r="40">
          <cell r="F40" t="str">
            <v>EE720 20442/1 MÁSZ Debrecen Egyetem sugárút 13.</v>
          </cell>
        </row>
        <row r="41">
          <cell r="F41" t="str">
            <v>EE730 1816/19 MÁSZ Pécs Ráczvárosi út 70/2</v>
          </cell>
        </row>
        <row r="42">
          <cell r="F42" t="str">
            <v>EE740 25562/6 MÁSZ Szeged Kálvária sugárút 87.</v>
          </cell>
        </row>
        <row r="43">
          <cell r="F43" t="str">
            <v>EF100 36177/2 Budapest VIII. Illés u. 25.</v>
          </cell>
        </row>
        <row r="44">
          <cell r="F44" t="str">
            <v>EF200 367 Göd Jávorka u. 14.</v>
          </cell>
        </row>
        <row r="45">
          <cell r="F45" t="str">
            <v>EF300 811 Szombathely Szt. Imre u. 112.</v>
          </cell>
        </row>
        <row r="46">
          <cell r="F46" t="str">
            <v>EF400 298 Visegrád Fő u. 117.</v>
          </cell>
        </row>
        <row r="47">
          <cell r="F47" t="str">
            <v>EF500 1044230 Balatonkenese Kikötő u. 6.</v>
          </cell>
        </row>
        <row r="48">
          <cell r="F48" t="str">
            <v>EF700 40991/35 Budapest X. Maglódi út 8.</v>
          </cell>
        </row>
        <row r="49">
          <cell r="F49" t="str">
            <v>EF900 184116 Sport Kft 
Budapest XXIII. Vízisport u. 48.</v>
          </cell>
        </row>
        <row r="50">
          <cell r="F50" t="str">
            <v>EFA00 3928/I/20 Balatonfüred Kosztolányi u. 4.</v>
          </cell>
        </row>
        <row r="51">
          <cell r="F51" t="str">
            <v>EFB00 235/4 Tata Fekete u. 2.</v>
          </cell>
        </row>
        <row r="52">
          <cell r="F52" t="str">
            <v>EFD10 6 Nagyrákos Nemesszer u. 8.</v>
          </cell>
        </row>
        <row r="53">
          <cell r="F53" t="str">
            <v>EG100 38236/170 Budapest IX. Ecseri út 3.</v>
          </cell>
        </row>
        <row r="54">
          <cell r="F54" t="str">
            <v>EG200 33458 Budapest VII. Damjanich u. 41-43.</v>
          </cell>
        </row>
        <row r="55">
          <cell r="F55" t="str">
            <v>EH110 2186709 Budapest XII. Kiss altb. u. 40.</v>
          </cell>
        </row>
        <row r="56">
          <cell r="F56" t="str">
            <v>EH120 7894 Budapest XII. Kiss altb. u. 42-44.</v>
          </cell>
        </row>
        <row r="57">
          <cell r="F57" t="str">
            <v xml:space="preserve">EI210 31159/4/B/119 Budapest XIV. Huszt u. 11., I/2. </v>
          </cell>
        </row>
        <row r="58">
          <cell r="F58" t="str">
            <v xml:space="preserve">EI220 31159/4/B/122 Budapest XIV. Huszt u. 11., II/2. </v>
          </cell>
        </row>
        <row r="59">
          <cell r="F59" t="str">
            <v>EI230 31159/4/B/125 Budapest XIV. Huszt u. 11., III/2.</v>
          </cell>
        </row>
        <row r="60">
          <cell r="F60" t="str">
            <v>EI300  Budapest Szerémi sor 8.</v>
          </cell>
        </row>
        <row r="61">
          <cell r="F61" t="str">
            <v>EI400  Budapest Hamzsabégi út 20.</v>
          </cell>
        </row>
        <row r="62">
          <cell r="F62" t="str">
            <v>EI500  Budapest Régiposta u. 11.</v>
          </cell>
        </row>
        <row r="63">
          <cell r="F63" t="str">
            <v>ES 320  5941/6 Szombathely
Pável Koll II Ady E tér  Ady Eendre. tér 3/A</v>
          </cell>
        </row>
        <row r="64">
          <cell r="F64" t="str">
            <v>ES110 5555 Szombathely
Campus A épület Károlyi G. tér 4.</v>
          </cell>
        </row>
        <row r="65">
          <cell r="F65" t="str">
            <v>ES120 5555 Szombathely
Campus B épület Károlyi G. tér 4.</v>
          </cell>
        </row>
        <row r="66">
          <cell r="F66" t="str">
            <v>ES130 5555 Szombathely
Campus C épület Károlyi G. tér 4.</v>
          </cell>
        </row>
        <row r="67">
          <cell r="F67" t="str">
            <v>ES140 6272 Szombathely
Campus D épület Berzsenyi tér. 2.</v>
          </cell>
        </row>
        <row r="68">
          <cell r="F68" t="str">
            <v>ES150 5555 Szombathely
Campus E épület Károlyi G. tér 4.</v>
          </cell>
        </row>
        <row r="69">
          <cell r="F69" t="str">
            <v>ES160 5531/9 Szombathely
Géfin utcai zenei tanszék Géfin Gyula utca 28.</v>
          </cell>
        </row>
        <row r="70">
          <cell r="F70" t="str">
            <v>ES170 5531/5 Szombathely
Géfin utcai rajztermek Géfin Gyula utca 22.</v>
          </cell>
        </row>
        <row r="71">
          <cell r="F71" t="str">
            <v>ES180 5555 Szombathely
Forrásközpont Károlyi G. tér 4.</v>
          </cell>
        </row>
        <row r="72">
          <cell r="F72" t="str">
            <v xml:space="preserve">ES190  Szombatghely
Campus központ </v>
          </cell>
        </row>
        <row r="73">
          <cell r="F73" t="str">
            <v>ES200 2808/8 Szombathely
Bolyai iskola Bolyai János utca 11.</v>
          </cell>
        </row>
        <row r="74">
          <cell r="F74" t="str">
            <v>ES310 6029 Szombathely
Pável koll I magyar u. Magyar László utca 1.</v>
          </cell>
        </row>
        <row r="75">
          <cell r="F75" t="str">
            <v>ES330 6040 Szombathely
Pável koll III. Deák F u Deák Ferenc. u. 57.</v>
          </cell>
        </row>
        <row r="76">
          <cell r="F76" t="str">
            <v>ES410 5555 Szombathely
Campus Sportcsarnok Károlyi G. tér 4.</v>
          </cell>
        </row>
        <row r="77">
          <cell r="F77" t="str">
            <v>ES420 5555 Szombathely
Campus Menza Károlyi G. tér 4.</v>
          </cell>
        </row>
        <row r="78">
          <cell r="F78" t="str">
            <v xml:space="preserve"> 1206 Martonvásár Dréher út 12.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ZÁMELEK"/>
      <sheetName val="SZÁMGÁZ"/>
      <sheetName val="SZÁMVÍZ"/>
      <sheetName val="SZÁMCSAT"/>
      <sheetName val="SZÁMHŐ"/>
      <sheetName val="VEGYTÜZ"/>
      <sheetName val="KÉMSZLA"/>
      <sheetName val="SZEMÉT"/>
      <sheetName val="KTG"/>
      <sheetName val="Elektromos"/>
      <sheetName val="Gáz"/>
      <sheetName val="Víz"/>
      <sheetName val="Csatorna"/>
      <sheetName val="Távhő"/>
      <sheetName val="Vegyes"/>
      <sheetName val="Kémény"/>
      <sheetName val="felbontás"/>
      <sheetName val="kódok"/>
      <sheetName val="számo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1">
          <cell r="A1" t="str">
            <v>Épületkód</v>
          </cell>
        </row>
        <row r="2">
          <cell r="A2" t="str">
            <v>A10</v>
          </cell>
        </row>
        <row r="3">
          <cell r="A3" t="str">
            <v>A20</v>
          </cell>
        </row>
        <row r="4">
          <cell r="A4" t="str">
            <v>A30</v>
          </cell>
        </row>
        <row r="5">
          <cell r="A5" t="str">
            <v>A40</v>
          </cell>
        </row>
        <row r="6">
          <cell r="A6" t="str">
            <v>A50</v>
          </cell>
        </row>
        <row r="7">
          <cell r="A7" t="str">
            <v>A60</v>
          </cell>
        </row>
        <row r="8">
          <cell r="A8" t="str">
            <v>A70</v>
          </cell>
        </row>
        <row r="9">
          <cell r="A9" t="str">
            <v>A80</v>
          </cell>
        </row>
        <row r="10">
          <cell r="A10" t="str">
            <v>A90</v>
          </cell>
        </row>
        <row r="11">
          <cell r="A11" t="str">
            <v>B11</v>
          </cell>
        </row>
        <row r="12">
          <cell r="A12" t="str">
            <v>B12</v>
          </cell>
        </row>
        <row r="13">
          <cell r="A13" t="str">
            <v>B13</v>
          </cell>
        </row>
        <row r="14">
          <cell r="A14" t="str">
            <v>B14</v>
          </cell>
        </row>
        <row r="15">
          <cell r="A15" t="str">
            <v>B15</v>
          </cell>
        </row>
        <row r="16">
          <cell r="A16" t="str">
            <v>B16</v>
          </cell>
        </row>
        <row r="17">
          <cell r="A17" t="str">
            <v>B17</v>
          </cell>
        </row>
        <row r="18">
          <cell r="A18" t="str">
            <v>B18</v>
          </cell>
        </row>
        <row r="19">
          <cell r="A19" t="str">
            <v>B19</v>
          </cell>
        </row>
        <row r="20">
          <cell r="A20" t="str">
            <v>B20</v>
          </cell>
        </row>
        <row r="21">
          <cell r="A21" t="str">
            <v>B30</v>
          </cell>
        </row>
        <row r="22">
          <cell r="A22" t="str">
            <v>B40</v>
          </cell>
        </row>
        <row r="23">
          <cell r="A23" t="str">
            <v>B50</v>
          </cell>
        </row>
        <row r="24">
          <cell r="A24" t="str">
            <v>B60</v>
          </cell>
        </row>
        <row r="25">
          <cell r="A25" t="str">
            <v>B90</v>
          </cell>
        </row>
        <row r="26">
          <cell r="A26" t="str">
            <v>C10</v>
          </cell>
        </row>
        <row r="27">
          <cell r="A27" t="str">
            <v>C11</v>
          </cell>
        </row>
        <row r="28">
          <cell r="A28" t="str">
            <v>C12</v>
          </cell>
        </row>
        <row r="29">
          <cell r="A29" t="str">
            <v>C13</v>
          </cell>
        </row>
        <row r="30">
          <cell r="A30" t="str">
            <v>C15</v>
          </cell>
        </row>
        <row r="31">
          <cell r="A31" t="str">
            <v>C16</v>
          </cell>
        </row>
        <row r="32">
          <cell r="A32" t="str">
            <v>C20</v>
          </cell>
        </row>
        <row r="33">
          <cell r="A33" t="str">
            <v>C31</v>
          </cell>
        </row>
        <row r="34">
          <cell r="A34" t="str">
            <v>C32</v>
          </cell>
        </row>
        <row r="35">
          <cell r="A35" t="str">
            <v>C33</v>
          </cell>
        </row>
        <row r="36">
          <cell r="A36" t="str">
            <v>C40</v>
          </cell>
        </row>
        <row r="37">
          <cell r="A37" t="str">
            <v>C50</v>
          </cell>
        </row>
        <row r="38">
          <cell r="A38" t="str">
            <v>D11</v>
          </cell>
        </row>
        <row r="39">
          <cell r="A39" t="str">
            <v>D12</v>
          </cell>
        </row>
        <row r="40">
          <cell r="A40" t="str">
            <v>D13</v>
          </cell>
        </row>
        <row r="41">
          <cell r="A41" t="str">
            <v>D14</v>
          </cell>
        </row>
        <row r="42">
          <cell r="A42" t="str">
            <v>D20</v>
          </cell>
        </row>
        <row r="43">
          <cell r="A43" t="str">
            <v>D23</v>
          </cell>
        </row>
        <row r="44">
          <cell r="A44" t="str">
            <v>D30</v>
          </cell>
        </row>
        <row r="45">
          <cell r="A45" t="str">
            <v>E10</v>
          </cell>
        </row>
        <row r="46">
          <cell r="A46" t="str">
            <v>E20</v>
          </cell>
        </row>
        <row r="47">
          <cell r="A47" t="str">
            <v>E31</v>
          </cell>
        </row>
        <row r="48">
          <cell r="A48" t="str">
            <v>E32</v>
          </cell>
        </row>
        <row r="49">
          <cell r="A49" t="str">
            <v>E33</v>
          </cell>
        </row>
        <row r="50">
          <cell r="A50" t="str">
            <v>E34</v>
          </cell>
        </row>
        <row r="51">
          <cell r="A51" t="str">
            <v>E40</v>
          </cell>
        </row>
        <row r="52">
          <cell r="A52" t="str">
            <v>E50</v>
          </cell>
        </row>
        <row r="53">
          <cell r="A53" t="str">
            <v>F10</v>
          </cell>
        </row>
        <row r="54">
          <cell r="A54" t="str">
            <v>F20</v>
          </cell>
        </row>
        <row r="55">
          <cell r="A55" t="str">
            <v>F30</v>
          </cell>
        </row>
        <row r="56">
          <cell r="A56" t="str">
            <v>F40</v>
          </cell>
        </row>
        <row r="57">
          <cell r="A57" t="str">
            <v>F50</v>
          </cell>
        </row>
        <row r="58">
          <cell r="A58" t="str">
            <v>F60</v>
          </cell>
        </row>
        <row r="59">
          <cell r="A59" t="str">
            <v>F70</v>
          </cell>
        </row>
        <row r="60">
          <cell r="A60" t="str">
            <v>F80</v>
          </cell>
        </row>
        <row r="61">
          <cell r="A61" t="str">
            <v>F90</v>
          </cell>
        </row>
        <row r="62">
          <cell r="A62" t="str">
            <v>FA0</v>
          </cell>
        </row>
        <row r="63">
          <cell r="A63" t="str">
            <v>FB0</v>
          </cell>
        </row>
        <row r="64">
          <cell r="A64" t="str">
            <v>FD0</v>
          </cell>
        </row>
        <row r="65">
          <cell r="A65" t="str">
            <v>G10</v>
          </cell>
        </row>
        <row r="66">
          <cell r="A66" t="str">
            <v>G20</v>
          </cell>
        </row>
        <row r="67">
          <cell r="A67" t="str">
            <v>Épületkód</v>
          </cell>
        </row>
        <row r="68">
          <cell r="A68" t="str">
            <v>H11</v>
          </cell>
        </row>
        <row r="69">
          <cell r="A69" t="str">
            <v>H12</v>
          </cell>
        </row>
        <row r="70">
          <cell r="A70" t="str">
            <v>H13</v>
          </cell>
        </row>
        <row r="71">
          <cell r="A71" t="str">
            <v>H20</v>
          </cell>
        </row>
        <row r="72">
          <cell r="A72" t="str">
            <v>IB0</v>
          </cell>
        </row>
        <row r="73">
          <cell r="A73" t="str">
            <v>I00</v>
          </cell>
        </row>
        <row r="74">
          <cell r="A74" t="str">
            <v>I00</v>
          </cell>
        </row>
        <row r="75">
          <cell r="A75" t="str">
            <v>I00</v>
          </cell>
        </row>
        <row r="76">
          <cell r="A76" t="str">
            <v>I00</v>
          </cell>
        </row>
        <row r="77">
          <cell r="A77" t="str">
            <v>I00</v>
          </cell>
        </row>
        <row r="78">
          <cell r="A78" t="str">
            <v>I00</v>
          </cell>
        </row>
        <row r="79">
          <cell r="A79" t="str">
            <v>I00</v>
          </cell>
        </row>
        <row r="80">
          <cell r="A80" t="str">
            <v>I00</v>
          </cell>
        </row>
        <row r="81">
          <cell r="A81" t="str">
            <v>I00</v>
          </cell>
        </row>
        <row r="82">
          <cell r="A82" t="str">
            <v>I00</v>
          </cell>
        </row>
        <row r="83">
          <cell r="A83" t="str">
            <v>I00</v>
          </cell>
        </row>
        <row r="84">
          <cell r="A84" t="str">
            <v>I00</v>
          </cell>
        </row>
        <row r="85">
          <cell r="A85" t="str">
            <v>I00</v>
          </cell>
        </row>
        <row r="86">
          <cell r="A86" t="str">
            <v>I00</v>
          </cell>
        </row>
        <row r="87">
          <cell r="A87" t="str">
            <v>I00</v>
          </cell>
        </row>
        <row r="88">
          <cell r="A88" t="str">
            <v>I00</v>
          </cell>
        </row>
        <row r="89">
          <cell r="A89" t="str">
            <v>I00</v>
          </cell>
        </row>
        <row r="90">
          <cell r="A90" t="str">
            <v>I00</v>
          </cell>
        </row>
        <row r="91">
          <cell r="A91" t="str">
            <v>I00</v>
          </cell>
        </row>
      </sheetData>
      <sheetData sheetId="1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ÁZ"/>
      <sheetName val="VÍZ"/>
      <sheetName val="ÁRAM"/>
      <sheetName val="Rovatrend"/>
      <sheetName val="Ellátás_Szerződések"/>
      <sheetName val="SZÁMLA"/>
      <sheetName val="SZERZŐDÉSEK"/>
      <sheetName val="Idegen_szerz."/>
      <sheetName val="TERV 802"/>
      <sheetName val="802"/>
      <sheetName val="TERV 804"/>
      <sheetName val="TERV 699"/>
      <sheetName val="804"/>
      <sheetName val="539"/>
      <sheetName val="699"/>
      <sheetName val="873"/>
      <sheetName val="803"/>
      <sheetName val="420"/>
      <sheetName val="811"/>
      <sheetName val="893"/>
      <sheetName val="415"/>
      <sheetName val="422"/>
      <sheetName val="709"/>
      <sheetName val="Keretátadás"/>
      <sheetName val="jogcím"/>
      <sheetName val="Új cím"/>
      <sheetName val="Régi cím"/>
      <sheetName val="SZÁMOL"/>
      <sheetName val="ÖSSZESI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>
        <row r="7">
          <cell r="A7" t="str">
            <v>EA11</v>
          </cell>
        </row>
        <row r="8">
          <cell r="A8" t="str">
            <v>EA12</v>
          </cell>
        </row>
        <row r="9">
          <cell r="A9" t="str">
            <v>EA21</v>
          </cell>
        </row>
        <row r="10">
          <cell r="A10" t="str">
            <v>EA22</v>
          </cell>
        </row>
        <row r="11">
          <cell r="A11" t="str">
            <v>EA23</v>
          </cell>
        </row>
        <row r="12">
          <cell r="A12" t="str">
            <v>EA30</v>
          </cell>
        </row>
        <row r="13">
          <cell r="A13" t="str">
            <v>EA40</v>
          </cell>
        </row>
        <row r="14">
          <cell r="A14" t="str">
            <v>EA50</v>
          </cell>
        </row>
        <row r="15">
          <cell r="A15" t="str">
            <v>EA61</v>
          </cell>
        </row>
        <row r="16">
          <cell r="A16" t="str">
            <v>EA62</v>
          </cell>
        </row>
        <row r="17">
          <cell r="A17" t="str">
            <v>EA63</v>
          </cell>
        </row>
        <row r="18">
          <cell r="A18" t="str">
            <v>EA70</v>
          </cell>
        </row>
        <row r="19">
          <cell r="A19" t="str">
            <v>EA80</v>
          </cell>
        </row>
        <row r="20">
          <cell r="A20" t="str">
            <v>EA91</v>
          </cell>
        </row>
        <row r="21">
          <cell r="A21" t="str">
            <v>EA92</v>
          </cell>
        </row>
        <row r="22">
          <cell r="A22" t="str">
            <v>EB11</v>
          </cell>
        </row>
        <row r="23">
          <cell r="A23" t="str">
            <v>EB12</v>
          </cell>
        </row>
        <row r="24">
          <cell r="A24" t="str">
            <v>EB13</v>
          </cell>
        </row>
        <row r="25">
          <cell r="A25" t="str">
            <v>EB14</v>
          </cell>
        </row>
        <row r="26">
          <cell r="A26" t="str">
            <v>EB15</v>
          </cell>
        </row>
        <row r="27">
          <cell r="A27" t="str">
            <v>EB16</v>
          </cell>
        </row>
        <row r="28">
          <cell r="A28" t="str">
            <v>EB17</v>
          </cell>
        </row>
        <row r="29">
          <cell r="A29" t="str">
            <v>EB18</v>
          </cell>
        </row>
        <row r="30">
          <cell r="A30" t="str">
            <v>EB19</v>
          </cell>
        </row>
        <row r="31">
          <cell r="A31" t="str">
            <v>EB20</v>
          </cell>
        </row>
        <row r="32">
          <cell r="A32" t="str">
            <v>EB31</v>
          </cell>
        </row>
        <row r="33">
          <cell r="A33" t="str">
            <v>EB32</v>
          </cell>
        </row>
        <row r="34">
          <cell r="A34" t="str">
            <v>EB40</v>
          </cell>
        </row>
        <row r="35">
          <cell r="A35" t="str">
            <v>EB90</v>
          </cell>
        </row>
        <row r="36">
          <cell r="A36" t="str">
            <v>EC21</v>
          </cell>
        </row>
        <row r="37">
          <cell r="A37" t="str">
            <v>EC22</v>
          </cell>
        </row>
        <row r="38">
          <cell r="A38" t="str">
            <v>EC41</v>
          </cell>
        </row>
        <row r="39">
          <cell r="A39" t="str">
            <v>EC42</v>
          </cell>
        </row>
        <row r="40">
          <cell r="A40" t="str">
            <v>EC51</v>
          </cell>
        </row>
        <row r="41">
          <cell r="A41" t="str">
            <v>EC52</v>
          </cell>
        </row>
        <row r="42">
          <cell r="A42" t="str">
            <v>ED11</v>
          </cell>
        </row>
        <row r="43">
          <cell r="A43" t="str">
            <v>ED12</v>
          </cell>
        </row>
        <row r="44">
          <cell r="A44" t="str">
            <v>ED13</v>
          </cell>
        </row>
        <row r="45">
          <cell r="A45" t="str">
            <v>ED21</v>
          </cell>
        </row>
        <row r="46">
          <cell r="A46" t="str">
            <v>ED22</v>
          </cell>
        </row>
        <row r="47">
          <cell r="A47" t="str">
            <v>ED23</v>
          </cell>
        </row>
        <row r="48">
          <cell r="A48" t="str">
            <v>ED24</v>
          </cell>
        </row>
        <row r="49">
          <cell r="A49" t="str">
            <v>ED25</v>
          </cell>
        </row>
        <row r="50">
          <cell r="A50" t="str">
            <v>ED26</v>
          </cell>
        </row>
        <row r="51">
          <cell r="A51" t="str">
            <v>ED31</v>
          </cell>
        </row>
        <row r="52">
          <cell r="A52" t="str">
            <v>ED32</v>
          </cell>
        </row>
        <row r="53">
          <cell r="A53" t="str">
            <v>ED33</v>
          </cell>
        </row>
        <row r="54">
          <cell r="A54" t="str">
            <v>ED40</v>
          </cell>
        </row>
        <row r="55">
          <cell r="A55" t="str">
            <v>ED51</v>
          </cell>
        </row>
        <row r="56">
          <cell r="A56" t="str">
            <v>ED52</v>
          </cell>
        </row>
        <row r="57">
          <cell r="A57" t="str">
            <v>ED53</v>
          </cell>
        </row>
        <row r="58">
          <cell r="A58" t="str">
            <v>ED54</v>
          </cell>
        </row>
        <row r="59">
          <cell r="A59" t="str">
            <v>EE11</v>
          </cell>
        </row>
        <row r="60">
          <cell r="A60" t="str">
            <v>EE21</v>
          </cell>
        </row>
        <row r="61">
          <cell r="A61" t="str">
            <v>EE22</v>
          </cell>
        </row>
        <row r="62">
          <cell r="A62" t="str">
            <v>EE31</v>
          </cell>
        </row>
        <row r="63">
          <cell r="A63" t="str">
            <v>EE32</v>
          </cell>
        </row>
        <row r="64">
          <cell r="A64" t="str">
            <v>EE33</v>
          </cell>
        </row>
        <row r="65">
          <cell r="A65" t="str">
            <v>EE34</v>
          </cell>
        </row>
        <row r="66">
          <cell r="A66" t="str">
            <v>EE35</v>
          </cell>
        </row>
        <row r="67">
          <cell r="A67" t="str">
            <v>EE36</v>
          </cell>
        </row>
        <row r="68">
          <cell r="A68" t="str">
            <v>EE37</v>
          </cell>
        </row>
        <row r="69">
          <cell r="A69" t="str">
            <v>EE41</v>
          </cell>
        </row>
        <row r="70">
          <cell r="A70" t="str">
            <v>EE42</v>
          </cell>
        </row>
        <row r="71">
          <cell r="A71" t="str">
            <v>EE43</v>
          </cell>
        </row>
        <row r="72">
          <cell r="A72" t="str">
            <v>EE44</v>
          </cell>
        </row>
        <row r="73">
          <cell r="A73" t="str">
            <v>EE45</v>
          </cell>
        </row>
        <row r="74">
          <cell r="A74" t="str">
            <v>EE51</v>
          </cell>
        </row>
        <row r="75">
          <cell r="A75" t="str">
            <v>EE52</v>
          </cell>
        </row>
        <row r="76">
          <cell r="A76" t="str">
            <v>EE53</v>
          </cell>
        </row>
        <row r="77">
          <cell r="A77" t="str">
            <v>EE60</v>
          </cell>
        </row>
        <row r="78">
          <cell r="A78" t="str">
            <v>EF1A</v>
          </cell>
        </row>
        <row r="79">
          <cell r="A79" t="str">
            <v>EF11</v>
          </cell>
        </row>
        <row r="80">
          <cell r="A80" t="str">
            <v>EF12</v>
          </cell>
        </row>
        <row r="81">
          <cell r="A81" t="str">
            <v>EF13</v>
          </cell>
        </row>
        <row r="82">
          <cell r="A82" t="str">
            <v>EF14</v>
          </cell>
        </row>
        <row r="83">
          <cell r="A83" t="str">
            <v>EF15</v>
          </cell>
        </row>
        <row r="84">
          <cell r="A84" t="str">
            <v>EF16</v>
          </cell>
        </row>
        <row r="85">
          <cell r="A85" t="str">
            <v>EF17</v>
          </cell>
        </row>
        <row r="86">
          <cell r="A86" t="str">
            <v>EF18</v>
          </cell>
        </row>
        <row r="87">
          <cell r="A87" t="str">
            <v>EF19</v>
          </cell>
        </row>
        <row r="88">
          <cell r="A88" t="str">
            <v>EF1B</v>
          </cell>
        </row>
        <row r="89">
          <cell r="A89" t="str">
            <v>EF1C</v>
          </cell>
        </row>
        <row r="90">
          <cell r="A90" t="str">
            <v>EF21</v>
          </cell>
        </row>
        <row r="91">
          <cell r="A91" t="str">
            <v>EF22</v>
          </cell>
        </row>
        <row r="92">
          <cell r="A92" t="str">
            <v>EF23</v>
          </cell>
        </row>
        <row r="93">
          <cell r="A93" t="str">
            <v>EF24</v>
          </cell>
        </row>
        <row r="94">
          <cell r="A94" t="str">
            <v>EF25</v>
          </cell>
        </row>
        <row r="95">
          <cell r="A95" t="str">
            <v>EF26</v>
          </cell>
        </row>
        <row r="96">
          <cell r="A96" t="str">
            <v>EF27</v>
          </cell>
        </row>
        <row r="97">
          <cell r="A97" t="str">
            <v>EF28</v>
          </cell>
        </row>
        <row r="98">
          <cell r="A98" t="str">
            <v>EF29</v>
          </cell>
        </row>
        <row r="99">
          <cell r="A99" t="str">
            <v>EF2A</v>
          </cell>
        </row>
        <row r="100">
          <cell r="A100" t="str">
            <v>EF2B</v>
          </cell>
        </row>
        <row r="101">
          <cell r="A101" t="str">
            <v>EF2C</v>
          </cell>
        </row>
        <row r="102">
          <cell r="A102" t="str">
            <v>EF2D</v>
          </cell>
        </row>
        <row r="103">
          <cell r="A103" t="str">
            <v>EF2E</v>
          </cell>
        </row>
        <row r="104">
          <cell r="A104" t="str">
            <v>EF2F</v>
          </cell>
        </row>
        <row r="105">
          <cell r="A105" t="str">
            <v>EF2G</v>
          </cell>
        </row>
        <row r="106">
          <cell r="A106" t="str">
            <v>EF2H</v>
          </cell>
        </row>
        <row r="107">
          <cell r="A107" t="str">
            <v>EF2I</v>
          </cell>
        </row>
        <row r="108">
          <cell r="A108" t="str">
            <v>EF2M</v>
          </cell>
        </row>
        <row r="109">
          <cell r="A109" t="str">
            <v>EF31</v>
          </cell>
        </row>
        <row r="110">
          <cell r="A110" t="str">
            <v>EF32</v>
          </cell>
        </row>
        <row r="111">
          <cell r="A111" t="str">
            <v>EF33</v>
          </cell>
        </row>
        <row r="112">
          <cell r="A112" t="str">
            <v>EF41</v>
          </cell>
        </row>
        <row r="113">
          <cell r="A113" t="str">
            <v>EF51</v>
          </cell>
        </row>
        <row r="114">
          <cell r="A114" t="str">
            <v>EF52</v>
          </cell>
        </row>
        <row r="115">
          <cell r="A115" t="str">
            <v>EF71</v>
          </cell>
        </row>
        <row r="116">
          <cell r="A116" t="str">
            <v>EF72</v>
          </cell>
        </row>
        <row r="117">
          <cell r="A117" t="str">
            <v>EF73</v>
          </cell>
        </row>
        <row r="118">
          <cell r="A118" t="str">
            <v>EF74</v>
          </cell>
        </row>
        <row r="119">
          <cell r="A119" t="str">
            <v>EF75</v>
          </cell>
        </row>
        <row r="120">
          <cell r="A120" t="str">
            <v>EF76</v>
          </cell>
        </row>
        <row r="121">
          <cell r="A121" t="str">
            <v>EF77</v>
          </cell>
        </row>
        <row r="122">
          <cell r="A122" t="str">
            <v>EF78</v>
          </cell>
        </row>
        <row r="123">
          <cell r="A123" t="str">
            <v>EF80</v>
          </cell>
        </row>
        <row r="124">
          <cell r="A124" t="str">
            <v>EF91</v>
          </cell>
        </row>
        <row r="125">
          <cell r="A125" t="str">
            <v>EF92</v>
          </cell>
        </row>
        <row r="126">
          <cell r="A126" t="str">
            <v>EF93</v>
          </cell>
        </row>
        <row r="127">
          <cell r="A127" t="str">
            <v>EFA0</v>
          </cell>
        </row>
        <row r="128">
          <cell r="A128" t="str">
            <v>EFB0</v>
          </cell>
        </row>
        <row r="129">
          <cell r="A129" t="str">
            <v>EFB1</v>
          </cell>
        </row>
        <row r="130">
          <cell r="A130" t="str">
            <v>EFB2</v>
          </cell>
        </row>
        <row r="131">
          <cell r="A131" t="str">
            <v>EFB3</v>
          </cell>
        </row>
        <row r="132">
          <cell r="A132" t="str">
            <v>EFB4</v>
          </cell>
        </row>
        <row r="133">
          <cell r="A133" t="str">
            <v>EFB5</v>
          </cell>
        </row>
        <row r="134">
          <cell r="A134" t="str">
            <v>EFB6</v>
          </cell>
        </row>
        <row r="135">
          <cell r="A135" t="str">
            <v>EFD0</v>
          </cell>
        </row>
        <row r="136">
          <cell r="A136" t="str">
            <v>EFD1</v>
          </cell>
        </row>
        <row r="137">
          <cell r="A137" t="str">
            <v>EFD2</v>
          </cell>
        </row>
        <row r="138">
          <cell r="A138" t="str">
            <v>EI20</v>
          </cell>
        </row>
        <row r="139">
          <cell r="A139" t="str">
            <v>EI21</v>
          </cell>
        </row>
        <row r="140">
          <cell r="A140" t="str">
            <v>EI22</v>
          </cell>
        </row>
        <row r="141">
          <cell r="A141" t="str">
            <v>EG11</v>
          </cell>
        </row>
        <row r="142">
          <cell r="A142" t="str">
            <v>EG12</v>
          </cell>
        </row>
        <row r="143">
          <cell r="A143" t="str">
            <v>EG21</v>
          </cell>
        </row>
        <row r="144">
          <cell r="A144" t="str">
            <v>EG22</v>
          </cell>
        </row>
        <row r="145">
          <cell r="A145" t="str">
            <v>EH11</v>
          </cell>
        </row>
        <row r="146">
          <cell r="A146" t="str">
            <v>EH12</v>
          </cell>
        </row>
        <row r="147">
          <cell r="A147" t="str">
            <v>EH14</v>
          </cell>
        </row>
        <row r="148">
          <cell r="A148" t="str">
            <v>EH31</v>
          </cell>
        </row>
        <row r="149">
          <cell r="A149" t="str">
            <v>EH32</v>
          </cell>
        </row>
      </sheetData>
      <sheetData sheetId="26" refreshError="1"/>
      <sheetData sheetId="27"/>
      <sheetData sheetId="28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chnikai"/>
      <sheetName val="KECSKEMÉTI U. 10-12."/>
      <sheetName val="Tervezési irányelvek"/>
      <sheetName val="épületek"/>
      <sheetName val="anyagcsoportok SAP-ban"/>
      <sheetName val="M-anyagcsoportok"/>
      <sheetName val="tevékenységek"/>
      <sheetName val="munkaszám"/>
      <sheetName val="Munkaszám technikai"/>
    </sheetNames>
    <sheetDataSet>
      <sheetData sheetId="0">
        <row r="1">
          <cell r="A1" t="str">
            <v>eseti</v>
          </cell>
          <cell r="C1" t="str">
            <v>napi</v>
          </cell>
          <cell r="D1" t="str">
            <v>kötelező</v>
          </cell>
        </row>
        <row r="2">
          <cell r="A2" t="str">
            <v>rendszeres</v>
          </cell>
          <cell r="C2" t="str">
            <v>heti</v>
          </cell>
          <cell r="D2" t="str">
            <v>javasolt</v>
          </cell>
        </row>
        <row r="3">
          <cell r="C3" t="str">
            <v>havi</v>
          </cell>
        </row>
        <row r="4">
          <cell r="C4" t="str">
            <v>né</v>
          </cell>
        </row>
        <row r="5">
          <cell r="C5" t="str">
            <v>fé</v>
          </cell>
        </row>
        <row r="6">
          <cell r="C6" t="str">
            <v>éves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Gyüge Péter" refreshedDate="44290.608353009258" createdVersion="6" refreshedVersion="6" minRefreshableVersion="3" recordCount="645">
  <cacheSource type="worksheet">
    <worksheetSource ref="A1:L1048576" sheet="1 kari főtábla"/>
  </cacheSource>
  <cacheFields count="12">
    <cacheField name="2.a melléklet sorszáma" numFmtId="0">
      <sharedItems containsBlank="1" containsMixedTypes="1" containsNumber="1" containsInteger="1" minValue="2" maxValue="50"/>
    </cacheField>
    <cacheField name="Kari tanács" numFmtId="0">
      <sharedItems containsBlank="1"/>
    </cacheField>
    <cacheField name="Kari Tanács B/K" numFmtId="0">
      <sharedItems containsBlank="1"/>
    </cacheField>
    <cacheField name="Kari Tanács sorszám" numFmtId="0">
      <sharedItems containsBlank="1"/>
    </cacheField>
    <cacheField name="Sor neve" numFmtId="0">
      <sharedItems containsBlank="1"/>
    </cacheField>
    <cacheField name="Kiadás/ Bevétel" numFmtId="0">
      <sharedItems containsBlank="1"/>
    </cacheField>
    <cacheField name="Űrlapsorszám" numFmtId="0">
      <sharedItems containsString="0" containsBlank="1" containsNumber="1" containsInteger="1" minValue="1" maxValue="350"/>
    </cacheField>
    <cacheField name="Űrlapsor neve" numFmtId="0">
      <sharedItems containsBlank="1"/>
    </cacheField>
    <cacheField name="PPK SZH" numFmtId="0">
      <sharedItems containsBlank="1" containsMixedTypes="1" containsNumber="1" minValue="-77441011.623756886" maxValue="402526458"/>
    </cacheField>
    <cacheField name="KARI főcsoport ÖSSZESEN" numFmtId="0">
      <sharedItems containsBlank="1" containsMixedTypes="1" containsNumber="1" minValue="-76480027.007349283" maxValue="402526457.93341732"/>
    </cacheField>
    <cacheField name="Eltérés" numFmtId="0">
      <sharedItems containsString="0" containsBlank="1" containsNumber="1" minValue="-246802042.40593541" maxValue="290133291.27089614"/>
    </cacheField>
    <cacheField name="TERVEZÉS ÖSSZESEN (karon kívülre átadásnál 0)" numFmtId="0">
      <sharedItems containsString="0" containsBlank="1" containsNumber="1" minValue="-76480027.007349283" maxValue="402526457.9334173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Tóth András" refreshedDate="44330.648428935187" createdVersion="6" refreshedVersion="6" minRefreshableVersion="3" recordCount="628">
  <cacheSource type="worksheet">
    <worksheetSource ref="G1:BJ1048576" sheet="1 kari főtábla"/>
  </cacheSource>
  <cacheFields count="38">
    <cacheField name="Űrlapsorszám" numFmtId="0">
      <sharedItems containsString="0" containsBlank="1" containsNumber="1" minValue="1" maxValue="350" count="212">
        <m/>
        <n v="5.13"/>
        <n v="320"/>
        <n v="343"/>
        <n v="333"/>
        <n v="349"/>
        <n v="255"/>
        <n v="294"/>
        <n v="286"/>
        <n v="301"/>
        <n v="233"/>
        <n v="234"/>
        <n v="235"/>
        <n v="236"/>
        <n v="237"/>
        <n v="238"/>
        <n v="239"/>
        <n v="240"/>
        <n v="241"/>
        <n v="242"/>
        <n v="243"/>
        <n v="244"/>
        <n v="245"/>
        <n v="246"/>
        <n v="247"/>
        <n v="248"/>
        <n v="249"/>
        <n v="250"/>
        <n v="251"/>
        <n v="252"/>
        <n v="253"/>
        <n v="254"/>
        <n v="256"/>
        <n v="257"/>
        <n v="258"/>
        <n v="259"/>
        <n v="260"/>
        <n v="261"/>
        <n v="262"/>
        <n v="263"/>
        <n v="264"/>
        <n v="265"/>
        <n v="266"/>
        <n v="267"/>
        <n v="268"/>
        <n v="269"/>
        <n v="270"/>
        <n v="271"/>
        <n v="272"/>
        <n v="273"/>
        <n v="274"/>
        <n v="275"/>
        <n v="276"/>
        <n v="277"/>
        <n v="278"/>
        <n v="279"/>
        <n v="280"/>
        <n v="281"/>
        <n v="282"/>
        <n v="283"/>
        <n v="284"/>
        <n v="322"/>
        <n v="285"/>
        <n v="332"/>
        <n v="298"/>
        <n v="342"/>
        <n v="297"/>
        <n v="341"/>
        <n v="1"/>
        <n v="346"/>
        <n v="344"/>
        <n v="335"/>
        <n v="293"/>
        <n v="340"/>
        <n v="290"/>
        <n v="336"/>
        <n v="291"/>
        <n v="337"/>
        <n v="288"/>
        <n v="350"/>
        <n v="292"/>
        <n v="327"/>
        <n v="299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3"/>
        <n v="74"/>
        <n v="75"/>
        <n v="76"/>
        <n v="77"/>
        <n v="78"/>
        <n v="79"/>
        <n v="80"/>
        <n v="81"/>
        <n v="84"/>
        <n v="85"/>
        <n v="86"/>
        <n v="87"/>
        <n v="88"/>
        <n v="90"/>
        <n v="91"/>
        <n v="92"/>
        <n v="93"/>
        <n v="96"/>
        <n v="97"/>
        <n v="98"/>
        <n v="99"/>
        <n v="100"/>
        <n v="102"/>
        <n v="104"/>
        <n v="105"/>
        <n v="106"/>
        <n v="108"/>
        <n v="109"/>
        <n v="110"/>
        <n v="112"/>
        <n v="113"/>
        <n v="115"/>
        <n v="116"/>
        <n v="117"/>
        <n v="118"/>
        <n v="119"/>
        <n v="120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7"/>
        <n v="138"/>
        <n v="139"/>
        <n v="141"/>
        <n v="142"/>
        <n v="144"/>
        <n v="145"/>
        <n v="146"/>
        <n v="147"/>
        <n v="148"/>
        <n v="149"/>
        <n v="158"/>
        <n v="203"/>
        <n v="210"/>
        <n v="334"/>
        <n v="287"/>
        <n v="300"/>
        <n v="345"/>
        <n v="295" u="1"/>
        <n v="339" u="1"/>
      </sharedItems>
    </cacheField>
    <cacheField name="Űrlapsor neve" numFmtId="0">
      <sharedItems containsBlank="1" containsMixedTypes="1" containsNumber="1" minValue="15.13" maxValue="15.13" count="223">
        <m/>
        <n v="15.13"/>
        <s v="ÖSSZEGZŐ SOR"/>
        <s v="Működési költségvetés támogatása - Képzés"/>
        <s v="T Átoktatásra támogatás ÁTADÁS"/>
        <s v="T Képzési finanszírozás átadás"/>
        <s v="T Átoktatásra támogatás ÁTVÉTEL"/>
        <s v="Ell.díjak - Neptun - Önktg. Költségtérítés"/>
        <s v="SB Átoktatásra bevétel ÁTADÁS"/>
        <s v="SB Képzési finanszírozás átadás"/>
        <s v="SB Átoktatásra bevétel ÁTVÉTEL"/>
        <s v="ÖSSZESEN: töltendő, ha nincs alábontás"/>
        <s v="Vásárolt. saját előállítású  jegyzet. tankönyv értékesít."/>
        <s v="Egyéb áru és készletértékesítés"/>
        <s v="Gyakorló kert bevételei"/>
        <s v="ÁRU-ÉS KÉSZLET ÉRTÉKESÍTÉS ELLENÉRTÉKE"/>
        <s v="Oktatási bevételek (tanfolyamok stb.)"/>
        <s v="K + F tevékenység bevételei"/>
        <s v="Tárgyi eszköz bérbeadásából származó bevétel"/>
        <s v="Bérleti és lízing díjbevételek"/>
        <s v="Parkolási díjbevétel"/>
        <s v="Vendéglátók által üzem0101tett étterem. büfé bérleti díja"/>
        <s v="Kollégiumhasznosítással kapcs.bevételek (5% ÁFA)"/>
        <s v="Egyéb szolgáltatások bevételei"/>
        <s v="Étkezési térítési díj (alkalmazotti)"/>
        <s v="Lakbér"/>
        <s v="Üdülési díj"/>
        <s v="SZOLGÁLTATÁSOK ELLENÉRTÉKE"/>
        <s v="Közvetített szolgáltatások ellenértéke ÁH-n belül"/>
        <s v="Közvetített szolgáltatások ellenértéke ÁH-n kívül (Áfa mentes)"/>
        <s v="KÖZVETÍTETT SZOLGÁLTATÁSOK BEVÉTELE"/>
        <s v="Ell.díjak - Köznevelési ell. - Óvodai ellátottak térítési díja"/>
        <s v="Ell.díjak - Köznevelési ell. - Általános iskolások étkezési díja"/>
        <s v="Ell.díjak - Köznevelési ell. - Középiskolások étkezési díja"/>
        <s v="Ell.díjak-Neptun-Egyéb szolg.d.- Felv.iratk.díjak (regiszt.) KTGTÉR"/>
        <s v="Ell.díjak-Neptun-Egyéb szolg.d.-Tantárgyi vizsgaismétlési díj (UV díj)"/>
        <s v="Ell.díjak-Neptun-Egyéb szolg.d. - Tantárgyismétlési díj"/>
        <s v="Ell.díjak-Neptun-Egyéb szolg.d.-Oklevél, diplomakiállítási díj"/>
        <s v="Ell.díjak-Neptun-Egyéb szolg.d.-Kredittúllépés, kreditkihagyási díj"/>
        <s v="Ell.díjak-Neptun-Egyéb szolg.d. - Nyelvvizsga díj"/>
        <s v="Ell.díjak-Neptun-Egyéb szolg.d. - Utólagos kurzusfelvétel. leadás"/>
        <s v="Ell.díjak-Neptun-Egyéb szolg.d. - Késedelmes leadás. felvétel"/>
        <s v="Ell.díjak-Neptun-Egyéb szolg.d. - Késedelmes befizetés"/>
        <s v="Ell.díjak-Neptun-Egyéb szolg.d.-Kreditenkénti költségtérítés - túlfutók"/>
        <s v="Ell.díjak-Neptun-Egyéb szolg.d.- Doktori eljárási díjak"/>
        <s v="Ell.díjak-Neptun-Egyéb szolg.d.-Egyéb különeljárási és késedelmi díjak"/>
        <s v="Ell.díjak - Neptun - Kollégiumi bevételek"/>
        <s v="Ell.díjak - NEM Neptun -Habilitációs díjak"/>
        <s v="Ell.díjak - NEM Neptun rendszeren keresztül beszedett bev."/>
        <s v="ELLÁTÁSI DÍJAK"/>
        <s v="Egyenes adós ÁFA anyag"/>
        <s v="Egyenes adós ÁFA szolgáltatás"/>
        <s v="Egyenes adós ÁFA beruházás (Értékesített t.eszk.áfa)"/>
        <s v="KISZÁMLÁZOTT ÁFA"/>
        <s v="Működési kiadásokhoz kapcs ÁFA visszatér bev"/>
        <s v="ÁFA VISSZATÉRÜLÉS"/>
        <s v="Áht kiv. egyéb kamat-, kamatjellegű e/bevét"/>
        <s v="KAMATBEVÉTELEK"/>
        <s v="Évközi realizált árf. nyereség AUT"/>
        <s v="Évközi realizált árf. nyereség"/>
        <s v="Egyéb pénzügyi műv.e.eredmsz.bevétele"/>
        <s v="EGYÉB PÉNZÜGYI MŰVELETEK BEVÉTELEI"/>
        <s v="Biztosító által fizetett kártérítés"/>
        <s v="Működési költségvetés támogatása - Céltámogatás"/>
        <s v="SB ÁKTH ÁTADÁS"/>
        <s v="T ÁKTH ÁTADÁS"/>
        <s v="SB Kiválósági Alap"/>
        <s v="T Kiválósági Alap"/>
        <s v="SB Kari kiválósági keret"/>
        <s v="T Kari kiválósági keret"/>
        <s v="NEM TERVEZENDŐ"/>
        <s v="T tanárképzés közös ktg"/>
        <s v="T Belső működésre átadás"/>
        <s v="T SZOCHO megtakarítás"/>
        <s v="SB Folyóiratok finanszírozása"/>
        <s v="T Folyóiratok finanszírozása"/>
        <s v="SB Közterületesítési különbözet"/>
        <s v="T Közterületesítési különbözet"/>
        <s v="SB Informatikai közvetlen költségek"/>
        <s v="T Informatikai közvetlen költségek"/>
        <s v="SB Üzemeltetési feladatok"/>
        <s v="T Üzemeltetési feladatok"/>
        <s v="SB Nemzetköziesítési feladatok"/>
        <s v="Maradvány"/>
        <s v="Működési költségvetés támogatása - Stipendium"/>
        <s v="MARADVÁNY ÖSSZEGZŐ SOR"/>
        <s v="bizonylatok sorszáma: 8560, 8561, 8602"/>
        <s v="bizonylat sorszáma: 8655"/>
        <s v="bizonylatok sorszáma: 8562, 8563, 8564, 8567, 8568, 8571, 8572"/>
        <s v="bizonylat sorszáma: 8666"/>
        <s v="SB Belső működési átadás"/>
        <s v="idei forrás ÖSSZESEN: töltendő, ha nincs alábontás"/>
        <s v="Oktatók alapilletményei"/>
        <s v="Kutatók alapilletményei"/>
        <s v="Működést támogató közalkalmazottak alapilletményei"/>
        <s v="ALAPILLETMÉNY ÖSSZESEN"/>
        <s v="Illetménykiegészítés"/>
        <s v="Nyelvpótlék"/>
        <s v="Egyéb kötelező illetménypótlékok"/>
        <s v="Egyéb feltételtől függő pótlékok és juttatások"/>
        <s v="Rendszeres keresetkiegészítés"/>
        <s v="Eseti keresetkiegészítés"/>
        <s v="Egyéb juttatások kiadásai"/>
        <s v="Hallgatói munkadíjak"/>
        <s v="Üres álláshelyekre tervezett illetmény (okt+kut+egyéb+hallg)"/>
        <s v="Üres"/>
        <s v="TÖRVÉNY SZERINTI ILLETMÉNYEK"/>
        <s v="Céljuttatás, projektprémium"/>
        <s v="Készenlét. ügyelet. helyettesítési díj, túlóra"/>
        <s v="Végkielégítés"/>
        <s v="Jubileumi jutalom"/>
        <s v="Iskolarendsz.képzés hozzájár."/>
        <s v="Iskolakezdési támogatás teljesítése"/>
        <s v="Egyéb béren kívüli juttatás teljesítése"/>
        <s v="Munkábajárás útiköltsége, bérlet"/>
        <s v="Munkábajárás útiköltsége - saját gk. (9 Ft/km)"/>
        <s v="Egyéb költségtérítések (bankköltség)"/>
        <s v="Lakhatási támogatás,albérleti hozzájárulás"/>
        <s v="Szociális jellegű juttatások"/>
        <s v="Foglalkoztatottak e.szem.jutt.  (Távolléti díj)"/>
        <s v="Saját munkavállaló oktatási megbízási díj"/>
        <s v="Külföldi napidíj teljesítése"/>
        <s v="Bérkompenzáció (teljes és részmunkaidős foglalk.)"/>
        <s v="FOGLALKOZTATOTTAK SZEM. JUTTAT."/>
        <s v="Külső megbízott megbízási díj teljesítése"/>
        <s v="Külsős tiszteletdíj,szerzői díj,honoráriuma"/>
        <s v="Külsős belföldi napidíj teljesítése"/>
        <s v="Külsős külföldi napidíj teljesítése"/>
        <s v="MVÉGZÉSRE IR. E. JOGVISZONYBAN FIZETETT JUTTATÁSOK"/>
        <s v="Felmentési bér teljesítése"/>
        <s v="Munkaviszonyban nem állók költségtérítése"/>
        <s v="Ktg.és egyéb juttatások"/>
        <s v="Ktg.és egyéb jutt./vas.gyém.rubin okl.,ö.díj kieg.,OTKA p.)"/>
        <s v="Reprezentáció"/>
        <s v="EGYÉB KÜLSŐ SZEMÉLYI JUTTATÁSOK"/>
        <s v="KÜLSŐ SZEMÉLYI JUTTATÁSOK"/>
        <s v="SZEMÉLYI JUTTATÁSOK"/>
        <s v="SZOCHÓ (15,5%)"/>
        <s v="EKHO (15,5%)"/>
        <s v="Kifizetői 15,5 %-os SZOCHO"/>
        <s v="Kifizető által fizetett SZJA"/>
        <s v="Rehabilitációs hozzájárulás"/>
        <s v="MUNKAADÓKAT T.JÁRULÉKOK ÉS SZOCIÁLIS HOZZÁJÁRULÁSI ADÓ"/>
        <s v="Gyógyszerbeszerzés"/>
        <s v="Vegyszerbeszerzés"/>
        <s v="Egyéb szakmai anyagbeszerzés"/>
        <s v="Könyvbeszerzés (5% ÁFA)"/>
        <s v="Egy éven belül elhasználódó szakmai anyag"/>
        <s v="Irodaszer. sokszorosítási. számítástechnikai anyagok"/>
        <s v="Nyomtatvány beszerzés"/>
        <s v="Hajtó- és kenőanyag beszerzése"/>
        <s v="Munka-. védő- és formaruha beszerzés"/>
        <s v="Karbantartási anyagok. alkatrészek.szerszámok beszerz"/>
        <s v="Bútorok.berend..felszer. tárgyak. textíliák beszerz."/>
        <s v="Tisztítószerek. tisztálkodási szerek beszerzése"/>
        <s v="Számítástechnikai alkatrészek.készletek beszerzése"/>
        <s v="Egyéb készletbeszerzés"/>
        <s v="Számítástechnikai oktatási szolg."/>
        <s v="Inform.eszközök, szolg.bérlet,lízingelés ktg."/>
        <s v="Informatikai eszközök karbantartása. kisjav."/>
        <s v="Adatfeldolgozási szolgáltatások"/>
        <s v="Adatátviteli célú távközlési díjak"/>
        <s v="TV előfizetési díj"/>
        <s v="Egyéb kommunikációs szolgáltatások"/>
        <s v="Nem adatátviteli célú távközlési díjak"/>
        <s v="Nem járulékköteles távközlési díj"/>
        <s v="Villamosenergia szolgáltatás díja"/>
        <s v="Gázenergia szolgáltatás díja"/>
        <s v="Távhő és melegvíz szolgáltatás díja"/>
        <s v="Víz- és csatornadíjak"/>
        <s v="ÁFA mentes villamosenergia szolgáltatás díja"/>
        <s v="Vásárolt élelmezés"/>
        <s v="PPP szolgáltatás"/>
        <s v="Egyéb kül. bérleti és lízing díjak (PPP nélkül)"/>
        <s v="Ingatlan bérleti díj költségei (Áfa mentes)"/>
        <s v="Ingatlanok karbantartása. kisjavítása"/>
        <s v="Gépek berendezések karbantartása, kisjavítása ktg."/>
        <s v="Járművekkel kapcsolatos karbantartási, kisjav. kiadások"/>
        <s v="AHT-n belüli közvetített szolgáltatások"/>
        <s v="AHT-n kívüli közvetített szolgáltatások"/>
        <s v="Vásárolt közszolgáltatások (pld. egészségügyi)"/>
        <s v="Jogi szolgáltatások"/>
        <s v="Számlázott (okt..kut.)szellemi tev.kiad."/>
        <s v="Szakmai szolgáltatások"/>
        <s v="Sport és kulturális szolgáltatás"/>
        <s v="Tanfolyamok. továbbképzések"/>
        <s v="Egyéb pénzügyi szoltáltatások (bankktg.)"/>
        <s v="Anyag- és áruszállítás költségei"/>
        <s v="Egyéb szállítás költségei"/>
        <s v="Postai levél. csomag. feladott távirat"/>
        <s v="Takarítás"/>
        <s v="Rovarirtás"/>
        <s v="Kommunális hulladék szállítási költségei"/>
        <s v="Kéményseprési díjak költségei"/>
        <s v="Nyomdai költség"/>
        <s v="Ingatlanok üzemelt. fenntartási kiad."/>
        <s v="Egyéb üzemelt. Kiadások (mosás, rakodás)"/>
        <s v="Egyéb más jellegű szolg. Költségei (audit, ell.)"/>
        <s v="Biztosítási díj (központilag fizetett vagyonbiztosítás)"/>
        <s v="Külföldi kiküldetések kiadásai"/>
        <s v="Belföldi kiküldetések kiadásai"/>
        <s v="Reklám- és propaganda költségei"/>
        <s v="Nem levonható egyenes adós ÁFA anyag, szolg."/>
        <s v="Egyenes adózású ÁFA befizetés"/>
        <s v="Külf.pénzért.szóló köt.p.ügy.real.árfoly.veszt."/>
        <s v="H. adók.e. vám, illeték és adójell. befiz. ráf."/>
        <s v="Díjak, egyéb befiz., ráford. tagsági díjak kiad."/>
        <s v="Turizmusfejlesztési hozzájárulás (4%)"/>
        <s v="Különféle egyéb dologi kiad. miatti egyéb ráfordítások"/>
        <s v="Kollégiumok FK keret fele"/>
        <s v="U-s munkaszámokon átfordult maradvány"/>
        <s v="7.sz.melléklet szerint külön tervezendő"/>
        <s v="negatív esetén forrásátadás"/>
        <s v="12.sz.melléklet szerint külön tervezendő"/>
        <s v="Szakmai gyakorlat"/>
        <s v="Épületek felújítása"/>
        <s v="Nem levonható egyenes adós ÁFA felújítás"/>
        <s v="űrlapsor szerinti bontás külön tervezendő"/>
        <s v="T BDPK keresztfinanszírozás"/>
        <s v="SB BDPK keresztfinanszírozás"/>
        <s v=" "/>
        <s v="SB Belső keresztfinanszírozás"/>
        <s v="T Belső keresztfinanszírozás"/>
      </sharedItems>
    </cacheField>
    <cacheField name="PPK SZH" numFmtId="0">
      <sharedItems containsBlank="1" containsMixedTypes="1" containsNumber="1" minValue="-77441011.623756886" maxValue="402526458"/>
    </cacheField>
    <cacheField name="KARI főcsoport ÖSSZESEN" numFmtId="0">
      <sharedItems containsBlank="1" containsMixedTypes="1" containsNumber="1" minValue="-76480027.007349297" maxValue="402526457.93341732"/>
    </cacheField>
    <cacheField name="Eltérés" numFmtId="0">
      <sharedItems containsString="0" containsBlank="1" containsNumber="1" minValue="-213359970.25272799" maxValue="103010412.66260937"/>
    </cacheField>
    <cacheField name="TERVEZÉS ÖSSZESEN (karon kívülre átadásnál 0)" numFmtId="0">
      <sharedItems containsString="0" containsBlank="1" containsNumber="1" minValue="-80770811.871743351" maxValue="458559864.50892359"/>
    </cacheField>
    <cacheField name="Felosztás" numFmtId="0">
      <sharedItems containsBlank="1" containsMixedTypes="1" containsNumber="1" containsInteger="1" minValue="0" maxValue="15"/>
    </cacheField>
    <cacheField name="Pedagógiai és Pszichológiai Intézet" numFmtId="0">
      <sharedItems containsBlank="1" containsMixedTypes="1" containsNumber="1" minValue="-44660135.397968397" maxValue="158053989.63551742"/>
    </cacheField>
    <cacheField name="Sporttudományi Intézet" numFmtId="0">
      <sharedItems containsBlank="1" containsMixedTypes="1" containsNumber="1" minValue="-69785125.857451901" maxValue="216334275.29789996"/>
    </cacheField>
    <cacheField name="PPK Általános" numFmtId="0">
      <sharedItems containsBlank="1" containsMixedTypes="1" containsNumber="1" minValue="-114445261.70768903" maxValue="120437616.27102068"/>
    </cacheField>
    <cacheField name="Kari kiválósági munkaszám" numFmtId="0">
      <sharedItems containsBlank="1" containsMixedTypes="1" containsNumber="1" minValue="-0.45000000018626451" maxValue="16772128.208422858"/>
    </cacheField>
    <cacheField name="Egyéb  célfeladataok" numFmtId="0">
      <sharedItems containsBlank="1" containsMixedTypes="1" containsNumber="1" containsInteger="1" minValue="0" maxValue="0"/>
    </cacheField>
    <cacheField name="Kari informatika" numFmtId="0">
      <sharedItems containsString="0" containsBlank="1" containsNumber="1" containsInteger="1" minValue="0" maxValue="0"/>
    </cacheField>
    <cacheField name="FIKP" numFmtId="0">
      <sharedItems containsBlank="1" containsMixedTypes="1" containsNumber="1" containsInteger="1" minValue="0" maxValue="0"/>
    </cacheField>
    <cacheField name="TEKP" numFmtId="0">
      <sharedItems containsBlank="1" containsMixedTypes="1" containsNumber="1" containsInteger="1" minValue="0" maxValue="0"/>
    </cacheField>
    <cacheField name="Képzési munkaszámok" numFmtId="0">
      <sharedItems containsBlank="1" containsMixedTypes="1" containsNumber="1" minValue="-103010412.66260937" maxValue="105166091.74698077"/>
    </cacheField>
    <cacheField name="Üzemeltetés" numFmtId="0">
      <sharedItems containsBlank="1" containsMixedTypes="1" containsNumber="1" minValue="-22229172.469999999" maxValue="99328260.161519602"/>
    </cacheField>
    <cacheField name="Közterületesítés különbözet" numFmtId="0">
      <sharedItems containsBlank="1" containsMixedTypes="1" containsNumber="1" containsInteger="1" minValue="-6694998" maxValue="0"/>
    </cacheField>
    <cacheField name="ÁKTH SZH" numFmtId="0">
      <sharedItems containsBlank="1" containsMixedTypes="1" containsNumber="1" minValue="0" maxValue="79480049.606689543"/>
    </cacheField>
    <cacheField name="SZOCHO átadás " numFmtId="0">
      <sharedItems containsBlank="1" containsMixedTypes="1" containsNumber="1" containsInteger="1" minValue="0" maxValue="14953560"/>
    </cacheField>
    <cacheField name="Nemzetköziesítéshez átadás" numFmtId="0">
      <sharedItems containsBlank="1" containsMixedTypes="1" containsNumber="1" containsInteger="1" minValue="0" maxValue="0"/>
    </cacheField>
    <cacheField name="Kiválósági Alap 0,5%" numFmtId="0">
      <sharedItems containsBlank="1" containsMixedTypes="1" containsNumber="1" minValue="0" maxValue="2091580.2528076195"/>
    </cacheField>
    <cacheField name="Kiválósági Alap 5%" numFmtId="0">
      <sharedItems containsBlank="1" containsMixedTypes="1" containsNumber="1" containsInteger="1" minValue="0" maxValue="0"/>
    </cacheField>
    <cacheField name="EISZ" numFmtId="0">
      <sharedItems containsBlank="1" containsMixedTypes="1" containsNumber="1" containsInteger="1" minValue="0" maxValue="0"/>
    </cacheField>
    <cacheField name="Belföldi folyóirat" numFmtId="0">
      <sharedItems containsBlank="1" containsMixedTypes="1" containsNumber="1" containsInteger="1" minValue="0" maxValue="0"/>
    </cacheField>
    <cacheField name="Külföldi folyóirat" numFmtId="0">
      <sharedItems containsBlank="1" containsMixedTypes="1" containsNumber="1" containsInteger="1" minValue="0" maxValue="0"/>
    </cacheField>
    <cacheField name="Bp. tanárképzés működés" numFmtId="0">
      <sharedItems containsBlank="1" containsMixedTypes="1" containsNumber="1" containsInteger="1" minValue="0" maxValue="0"/>
    </cacheField>
    <cacheField name="Bp. tanárképzés gyakorlat" numFmtId="0">
      <sharedItems containsBlank="1" containsMixedTypes="1" containsNumber="1" containsInteger="1" minValue="0" maxValue="0"/>
    </cacheField>
    <cacheField name="Anyanyelvi kritériumvizsga" numFmtId="0">
      <sharedItems containsBlank="1" containsMixedTypes="1" containsNumber="1" containsInteger="1" minValue="0" maxValue="0"/>
    </cacheField>
    <cacheField name="Szhely. tanárképzés gyakorlat" numFmtId="0">
      <sharedItems containsBlank="1" containsMixedTypes="1" containsNumber="1" minValue="0" maxValue="14167162.406577878"/>
    </cacheField>
    <cacheField name="Átoktatás bevételből" numFmtId="0">
      <sharedItems containsBlank="1" containsMixedTypes="1" containsNumber="1" minValue="-18348552.708645355" maxValue="138909.41664954461"/>
    </cacheField>
    <cacheField name="Átoktatás támogatásból" numFmtId="0">
      <sharedItems containsBlank="1" containsMixedTypes="1" containsNumber="1" minValue="-219522475.78041548" maxValue="2155679.0843714089"/>
    </cacheField>
    <cacheField name="Átoktatás stipendiumból" numFmtId="0">
      <sharedItems containsBlank="1" containsMixedTypes="1" containsNumber="1" containsInteger="1" minValue="0" maxValue="0"/>
    </cacheField>
    <cacheField name="Átoktatás egyéb" numFmtId="0">
      <sharedItems containsBlank="1" containsMixedTypes="1" containsNumber="1" minValue="-466733.1982256826" maxValue="0"/>
    </cacheField>
    <cacheField name="SH 2021" numFmtId="0">
      <sharedItems containsBlank="1" containsMixedTypes="1" containsNumber="1" containsInteger="1" minValue="0" maxValue="0"/>
    </cacheField>
    <cacheField name="Kiválósági ösztöndíj" numFmtId="0">
      <sharedItems containsBlank="1" containsMixedTypes="1" containsNumber="1" minValue="0" maxValue="24408712.8712871"/>
    </cacheField>
    <cacheField name="SEK Keresztfinansz." numFmtId="0">
      <sharedItems containsBlank="1" containsMixedTypes="1" containsNumber="1" minValue="0" maxValue="26229616.671423346"/>
    </cacheField>
    <cacheField name="PALYREZSI" numFmtId="0">
      <sharedItems containsString="0" containsBlank="1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Váradi Péter" refreshedDate="45062.438193287038" createdVersion="6" refreshedVersion="6" minRefreshableVersion="3" recordCount="563">
  <cacheSource type="worksheet">
    <worksheetSource ref="A1:BB1048576" sheet="1 kari főtábla"/>
  </cacheSource>
  <cacheFields count="54">
    <cacheField name="2.a melléklet sorszáma" numFmtId="0">
      <sharedItems containsBlank="1" containsMixedTypes="1" containsNumber="1" containsInteger="1" minValue="2" maxValue="48"/>
    </cacheField>
    <cacheField name="Kari tanács" numFmtId="0">
      <sharedItems containsBlank="1" containsMixedTypes="1" containsNumber="1" minValue="28.25" maxValue="28.25" count="95">
        <m/>
        <s v="Támogatás allokáció célszervezetre átoktatás után (2019. évi felosztási logika)"/>
        <s v="Képzési támogatás"/>
        <s v="Átoktatás átadás, támogatás"/>
        <s v="Átoktatással csökkentett képzési támogatás"/>
        <s v="Átoktatás átvétel, támogatás"/>
        <s v="Képzési saját bevételek célszervezetre átoktatás után"/>
        <s v="Önköltséges képzési bevétel"/>
        <s v="Átoktatás átadás, önköltséges"/>
        <s v="Átoktatással csökkentett önköltséges képzési bevétel"/>
        <s v="Átoktatás átvétel, önköltséges bevétel"/>
        <s v="Egyéb saját bevételek"/>
        <s v="Egyéb finanszírozású költségvetési bevétel allokáció célszervezetre"/>
        <s v="Egyéb finanszírozású képzési bevétel"/>
        <s v="Átoktatás átadás, egyéb finanszírozású bevétel"/>
        <s v="Átoktatással csökkentett egyéb finanszírozású képzési bevétel"/>
        <s v="Átoktatás átvétel, egyéb finanszírozású bevétel"/>
        <s v="Oktatói béremelés fedezete (2018. évi arányban)"/>
        <s v="Béremelés 2021-2022 itt lévő része"/>
        <s v="Egyetemi minimumbér és béremelés allokáció"/>
        <s v="2023 évi többlet támogatás allokációja (előirányzat csökkentéshez hozzájárulás arányában)"/>
        <s v="ÁKTH alá tartozó speciális feladatok"/>
        <s v="Kulturális illetménypótlék"/>
        <s v="Szombathelyi képzések fejlesztése (50 mFt célzottan BDPK)"/>
        <s v="Kis szakok"/>
        <s v="Nemzetiségi képzés"/>
        <s v="Kötelező minimálbér, garantált bérminimum kiegészítés"/>
        <s v="Anyanyelvi lektorok"/>
        <s v="Művészeti gyakorlóhely"/>
        <s v="ÁKTH alapja"/>
        <s v="Szombathelyi működésre ÁKTH elvonás 19,5 %"/>
        <s v="Egyetemi kiválósági alap elvonás -0,5%"/>
        <s v="Kari kiválósági -1,5 %"/>
        <s v="Karnál kiválósági visszahagyás +1,5 %"/>
        <s v="Belső átrendezés gyakorlatszervezés működésre"/>
        <s v="Belső átrendezés tanárképzés gyakorlatszervezésre"/>
        <s v="Kiválósági ösztöndíjhoz hozzájárulás (-7,808mFt maradvány, 2022/23 II. félév  és 2023/24 I. félév tanév becsült adatai alapján"/>
        <s v="Szocho elvonás"/>
        <s v="Belföldi és külföldi folyóiratra átrendezés"/>
        <s v="EISZ kari részre átrendezés"/>
        <s v="Tárgyévi közterületesítés miatti átrendezés"/>
        <s v="Előirányzat csökkentéshez hozzájárulás tárgyévi összes bevétel és tervezett pályázati kiadás alapján"/>
        <s v="Karok közötti belső átoktatási megállapodások"/>
        <s v="Nemzeköziesítésre elvonás"/>
        <s v="Bevételi egyenleg I. (itt lévő előirányzatok)"/>
        <s v="Maradvány"/>
        <s v="Bevételi egyenleg II. (Bevételi egyenleg I. + maradvány és korrekciói)"/>
        <s v="2022. évi képzési támogatás elszámolás - bruttó - minisztérium által  visszaigazolt  összeg 2022.12.09-i &quot;képzési elszámolás&quot; arányainak (visszafizetés maradványból)"/>
        <s v="2022 évi Stipendium Hungaricum szervezési keret előelszámolás - bruttó - tervezett összeg (előzetes)"/>
        <s v="2022. évi SH képzési  támogatás elszámolás ELŐZETES összeg 2022.12.09-i &quot;képzési elszámolás arányainak&quot; megfelelően (visszafizetés maradványból)"/>
        <s v="2022 évi Stipendium Hungaricum képzési költség előelszámolás - bruttó (előzetes)"/>
        <s v="Alaptámogatás alulfinanszírozás miatti kiegészítése 2022 évi tényelszámolás arányainak figyelembe vételével"/>
        <s v="GTK felfutás hatás - 2022. tavaszán és őszén felvételre kerülő hallgatók becslésének 80%-a"/>
        <s v="Béremelés 2021-2022 még itt nem lévő része"/>
        <s v="Stipendium Hungaricum költségtérítés célszervezetre (átoktatás után) - 2021 évi tény 85%-a"/>
        <s v="Stipendium Hungaricum képzési támogatás"/>
        <s v="Átoktatás átadás, Stipendium Hungaricum"/>
        <s v="Átoktatással csökkentett Stipendium Hungaricum képzési támogatás"/>
        <s v="Átoktatás átvétel, Stipendium Hungaricum"/>
        <s v="Stipendium Hungaricum szervezési keret 2022 - 2021 évi tény 85%-a"/>
        <s v="Energiakompenzáció"/>
        <s v="Központi ÁKTH elvonás nem ittlévő bevételekből -19,5 %"/>
        <s v="Egyetemi kiválósági alap elvonás nem ittlévő bevételekből -0,5%"/>
        <s v="Kari kiválósági elvonás még nem ittlévő bevételekből -1,5 %"/>
        <s v="Bevétel egyenleg III. (Bevétel egyenleg II. + nem ittlévő bevételek)"/>
        <s v="Egyéb ÁKTH (köznevelés 6%-a)"/>
        <s v="Bevételátadás belső működésre"/>
        <s v="Személyi kiadások (üzemeltetetés és informatika nélkül)"/>
        <s v="Üzemeltetési dologi kiadások"/>
        <s v="Üzemeltetési személyi kiadások"/>
        <s v="Informatikai dologi kiadások"/>
        <s v="Informatikai személyi kiadások"/>
        <s v="Kötelezően tervezendő telefon költség (2021. évi elszámolás összege alapján)"/>
        <s v="Dologi kiadások (üzemeltetetés és informatika nélkül)"/>
        <s v="Kiválósági ösztöndíjhoz hozzájárulás (-6,1mFt maradvány, 2020/21 II. és 2021/22 I. félév tanév becsült adatai alapján"/>
        <s v="Kari kiválósági személyi kiadások"/>
        <s v="Kari kiválósági dologi kiadások"/>
        <s v="KIADÁSOK ÖSSZESEN"/>
        <s v="KORRIGÁLT EGYENLEG (KARI BELSŐ POZÍCIÓ)"/>
        <s v="2022. évi forrás összesen 2.a alapján"/>
        <s v="Tervezett 2022. évi forrás összesen"/>
        <s v="Maradvány forrás összesen"/>
        <s v="Tervezett 2022. évi forrás + maradvány összesen"/>
        <s v="Kiadás 2.a) összesen"/>
        <s v="Tervezett kiadás 2022. évi forrásból összesen"/>
        <s v="Tervezett kiadás maradványból összesen"/>
        <s v="Tervezett kiadás mindösszesen"/>
        <s v="Keresztfinanszírozás előtti egyenleg, 2022. évi forrás"/>
        <s v="Keresztfinanszírozás előtti egyenleg, maradvány"/>
        <s v="Keresztfinanszírozás előtti egyenleg, összesen"/>
        <s v="31. Belső keresztfinanszírozás összesen"/>
        <s v="Keresztfinanszírozás utáni egyenleg"/>
        <s v="Pályázatok után 5% kiválósági alap átadása"/>
        <s v="Pályázatok után 5% ÁKTH átadása"/>
        <n v="28.25" u="1"/>
      </sharedItems>
    </cacheField>
    <cacheField name="Kari Tanács B/K" numFmtId="0">
      <sharedItems containsBlank="1" containsMixedTypes="1" containsNumber="1" minValue="5.13" maxValue="5.13" count="11">
        <m/>
        <s v="B"/>
        <s v="I."/>
        <s v="II."/>
        <s v="III."/>
        <s v="IV."/>
        <s v="K"/>
        <s v="V."/>
        <s v="VI."/>
        <s v="Ö"/>
        <n v="5.13" u="1"/>
      </sharedItems>
    </cacheField>
    <cacheField name="Kari Tanács sorszám" numFmtId="0">
      <sharedItems containsBlank="1" containsMixedTypes="1" containsNumber="1" minValue="5.13" maxValue="5.13" count="72">
        <m/>
        <s v="B1a."/>
        <s v="B1.b."/>
        <s v="B2.a. "/>
        <s v="B2.b. "/>
        <s v="B5. "/>
        <s v="B3.a. "/>
        <s v="B3.b. "/>
        <s v="B6. a"/>
        <s v="B6.b"/>
        <s v="B6.c"/>
        <s v="B6.d"/>
        <s v="B7.b."/>
        <s v="B7.c."/>
        <s v="B7.d."/>
        <s v="B7.e."/>
        <s v="B7.f."/>
        <s v="B7.g."/>
        <s v="B7.h."/>
        <s v="B.I."/>
        <s v="B8. "/>
        <s v="B9. "/>
        <s v="B10. "/>
        <s v="B11. "/>
        <s v="B12. "/>
        <s v="B13."/>
        <s v="B15. "/>
        <s v="B16. "/>
        <s v="B17. "/>
        <s v="B18.a"/>
        <s v="B18.b"/>
        <s v="B18.c"/>
        <s v="B19. "/>
        <s v="B.II."/>
        <s v="B20. "/>
        <s v="B.III."/>
        <s v="B21.a"/>
        <s v="B22"/>
        <s v="B23a."/>
        <s v="B23.b."/>
        <s v="B23.c"/>
        <s v="B24."/>
        <s v="B25.a. "/>
        <s v="B25.b. "/>
        <s v="B26. "/>
        <s v="B26.x"/>
        <s v="B27. "/>
        <s v="B28. "/>
        <s v="B29. "/>
        <s v="B30. "/>
        <s v="B.IV."/>
        <s v="B31. "/>
        <s v="B32."/>
        <s v="K1.a."/>
        <s v="K2.b."/>
        <s v="K1.b."/>
        <s v="K2.d."/>
        <s v="K1.c."/>
        <s v="K2.e."/>
        <s v="K2.a. "/>
        <s v="K1.d. "/>
        <s v="K2.f."/>
        <s v="K.V."/>
        <s v="B.VI."/>
        <s v="Ö1."/>
        <s v="Ö2."/>
        <s v="Ö3."/>
        <s v="Ö4."/>
        <s v="Ö5."/>
        <s v="Ö6."/>
        <s v="Ö7."/>
        <n v="5.13" u="1"/>
      </sharedItems>
    </cacheField>
    <cacheField name="Sor neve" numFmtId="0">
      <sharedItems containsBlank="1" containsMixedTypes="1" containsNumber="1" containsInteger="1" minValue="0" maxValue="67"/>
    </cacheField>
    <cacheField name="Kiadás/ Bevétel" numFmtId="0">
      <sharedItems containsBlank="1" containsMixedTypes="1" containsNumber="1" minValue="4.5" maxValue="4.5" count="11">
        <m/>
        <s v="B2A"/>
        <s v="BKÉ"/>
        <s v="B"/>
        <s v="MB"/>
        <s v="K2A"/>
        <s v="MK"/>
        <s v="K"/>
        <s v="K "/>
        <s v="B + űrlapsorszámos B2A"/>
        <n v="4.5" u="1"/>
      </sharedItems>
    </cacheField>
    <cacheField name="Űrlapsorszám" numFmtId="0">
      <sharedItems containsString="0" containsBlank="1" containsNumber="1" minValue="1" maxValue="350" count="227">
        <m/>
        <n v="320"/>
        <n v="343"/>
        <n v="333"/>
        <n v="349"/>
        <n v="255"/>
        <n v="294"/>
        <n v="286"/>
        <n v="301"/>
        <n v="233"/>
        <n v="234"/>
        <n v="235"/>
        <n v="236"/>
        <n v="237"/>
        <n v="238"/>
        <n v="239"/>
        <n v="240"/>
        <n v="241"/>
        <n v="242"/>
        <n v="243"/>
        <n v="244"/>
        <n v="245"/>
        <n v="246"/>
        <n v="247"/>
        <n v="248"/>
        <n v="249"/>
        <n v="250"/>
        <n v="251"/>
        <n v="252"/>
        <n v="253"/>
        <n v="254"/>
        <n v="256"/>
        <n v="257"/>
        <n v="258"/>
        <n v="259"/>
        <n v="260"/>
        <n v="261"/>
        <n v="262"/>
        <n v="263"/>
        <n v="264"/>
        <n v="265"/>
        <n v="266"/>
        <n v="267"/>
        <n v="268"/>
        <n v="269"/>
        <n v="270"/>
        <n v="271"/>
        <n v="272"/>
        <n v="273"/>
        <n v="274"/>
        <n v="275"/>
        <n v="276"/>
        <n v="277"/>
        <n v="278"/>
        <n v="279"/>
        <n v="280"/>
        <n v="281"/>
        <n v="282"/>
        <n v="283"/>
        <n v="284"/>
        <n v="322"/>
        <n v="285"/>
        <n v="332"/>
        <n v="298"/>
        <n v="342"/>
        <n v="297"/>
        <n v="341"/>
        <n v="1"/>
        <n v="346"/>
        <n v="344"/>
        <n v="335"/>
        <n v="293"/>
        <n v="340"/>
        <n v="290"/>
        <n v="336"/>
        <n v="287"/>
        <n v="334"/>
        <n v="291"/>
        <n v="337"/>
        <n v="288"/>
        <n v="350"/>
        <n v="292"/>
        <n v="338"/>
        <n v="327"/>
        <n v="348"/>
        <n v="299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92"/>
        <n v="142"/>
        <n v="67"/>
        <n v="68"/>
        <n v="69"/>
        <n v="70"/>
        <n v="71"/>
        <n v="73"/>
        <n v="74"/>
        <n v="75"/>
        <n v="76"/>
        <n v="77"/>
        <n v="78"/>
        <n v="79"/>
        <n v="80"/>
        <n v="81"/>
        <n v="84"/>
        <n v="85"/>
        <n v="86"/>
        <n v="87"/>
        <n v="88"/>
        <n v="90"/>
        <n v="91"/>
        <n v="93"/>
        <n v="96"/>
        <n v="97"/>
        <n v="98"/>
        <n v="99"/>
        <n v="100"/>
        <n v="102"/>
        <n v="104"/>
        <n v="105"/>
        <n v="106"/>
        <n v="108"/>
        <n v="109"/>
        <n v="110"/>
        <n v="112"/>
        <n v="113"/>
        <n v="115"/>
        <n v="116"/>
        <n v="117"/>
        <n v="118"/>
        <n v="119"/>
        <n v="120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7"/>
        <n v="138"/>
        <n v="139"/>
        <n v="141"/>
        <n v="144"/>
        <n v="145"/>
        <n v="146"/>
        <n v="147"/>
        <n v="148"/>
        <n v="149"/>
        <n v="158"/>
        <n v="203"/>
        <n v="210"/>
        <n v="300"/>
        <n v="345"/>
        <n v="295" u="1"/>
        <n v="195" u="1"/>
        <n v="347" u="1"/>
        <n v="193" u="1"/>
        <n v="289" u="1"/>
        <n v="192" u="1"/>
        <n v="191" u="1"/>
        <n v="339" u="1"/>
        <n v="5.13" u="1"/>
        <n v="189" u="1"/>
        <n v="208" u="1"/>
        <n v="206" u="1"/>
        <n v="204" u="1"/>
        <n v="200" u="1"/>
        <n v="199" u="1"/>
        <n v="197" u="1"/>
      </sharedItems>
    </cacheField>
    <cacheField name="Űrlapsor neve" numFmtId="0">
      <sharedItems containsBlank="1"/>
    </cacheField>
    <cacheField name="BDPK" numFmtId="0">
      <sharedItems containsBlank="1" containsMixedTypes="1" containsNumber="1" minValue="-191715083.87766045" maxValue="967418988.56411517"/>
    </cacheField>
    <cacheField name="KARI főcsoport ÖSSZESEN" numFmtId="0">
      <sharedItems containsBlank="1" containsMixedTypes="1" containsNumber="1" minValue="-191715083.87766045" maxValue="967418988.3493346"/>
    </cacheField>
    <cacheField name="Eltérés" numFmtId="0">
      <sharedItems containsString="0" containsBlank="1" containsNumber="1" minValue="-679267142.51314068" maxValue="361967010.09553111"/>
    </cacheField>
    <cacheField name="TERVEZÉS ÖSSZESEN (karon kívülre átadásnál 0)" numFmtId="0">
      <sharedItems containsString="0" containsBlank="1" containsNumber="1" minValue="-69026448" maxValue="1248846205.0350528"/>
    </cacheField>
    <cacheField name="Felosztás" numFmtId="0">
      <sharedItems containsBlank="1" containsMixedTypes="1" containsNumber="1" minValue="0" maxValue="69498.621203795075"/>
    </cacheField>
    <cacheField name="Angol Nyelv és Irodalom Tanszék" numFmtId="0">
      <sharedItems containsBlank="1" containsMixedTypes="1" containsNumber="1" minValue="-41741053.753259599" maxValue="214056685.91415179"/>
    </cacheField>
    <cacheField name="Biológiai Tanszék" numFmtId="0">
      <sharedItems containsBlank="1" containsMixedTypes="1" containsNumber="1" minValue="-44479579.477496497" maxValue="73612897.350000009"/>
    </cacheField>
    <cacheField name="Fizikai Tanszék" numFmtId="0">
      <sharedItems containsBlank="1" containsMixedTypes="1" containsNumber="1" minValue="-6032178.4345557773" maxValue="12495175.037725698"/>
    </cacheField>
    <cacheField name="Földrajzi Tanszék" numFmtId="0">
      <sharedItems containsBlank="1" containsMixedTypes="1" containsNumber="1" minValue="-27870405.713998199" maxValue="72180356.690808609"/>
    </cacheField>
    <cacheField name="Kémiai Tanszék" numFmtId="0">
      <sharedItems containsBlank="1" containsMixedTypes="1" containsNumber="1" minValue="-10647973.223581789" maxValue="28140534.672372825"/>
    </cacheField>
    <cacheField name="Magyar Irodalomtudományi Tanszék" numFmtId="0">
      <sharedItems containsBlank="1" containsMixedTypes="1" containsNumber="1" minValue="-12877505.580818418" maxValue="66038490.158043176"/>
    </cacheField>
    <cacheField name="Magyar Nyelvtudományi Tanszék" numFmtId="0">
      <sharedItems containsBlank="1" containsMixedTypes="1" containsNumber="1" minValue="-6246180.4233118184" maxValue="32031694.478522141"/>
    </cacheField>
    <cacheField name="Matematikai Tanszék" numFmtId="0">
      <sharedItems containsBlank="1" containsMixedTypes="1" containsNumber="1" minValue="-14980408.644260671" maxValue="76822608.432106018"/>
    </cacheField>
    <cacheField name="Vizuális Művészeti Tanszék" numFmtId="0">
      <sharedItems containsBlank="1" containsMixedTypes="1" containsNumber="1" minValue="-19668741.492882363" maxValue="100865340.98914032"/>
    </cacheField>
    <cacheField name="Német Nyelv és Irodalom Tanszék" numFmtId="0">
      <sharedItems containsBlank="1" containsMixedTypes="1" containsNumber="1" minValue="-14939246.974582504" maxValue="76611522.946576953"/>
    </cacheField>
    <cacheField name="Szlavisztika Tanszék" numFmtId="0">
      <sharedItems containsBlank="1" containsMixedTypes="1" containsNumber="1" minValue="-9412133.940025093" maxValue="44298602.369079374"/>
    </cacheField>
    <cacheField name="Történelem Tanszék" numFmtId="0">
      <sharedItems containsBlank="1" containsMixedTypes="1" containsNumber="1" minValue="-23707584.294820257" maxValue="121577355.3580526"/>
    </cacheField>
    <cacheField name="Zenepedagógiai Tanszék" numFmtId="0">
      <sharedItems containsBlank="1" containsMixedTypes="1" containsNumber="1" minValue="-7994124.0036649657" maxValue="846062166"/>
    </cacheField>
    <cacheField name="Igazgatói Hivatal" numFmtId="0">
      <sharedItems containsBlank="1" containsMixedTypes="1" containsNumber="1" minValue="-3529775.8021379118" maxValue="59041998.660000004"/>
    </cacheField>
    <cacheField name="BDPK Általános" numFmtId="0">
      <sharedItems containsBlank="1" containsMixedTypes="1" containsNumber="1" minValue="0" maxValue="63144.569244524282"/>
    </cacheField>
    <cacheField name="Általános 2" numFmtId="0">
      <sharedItems containsBlank="1" containsMixedTypes="1" containsNumber="1" minValue="-84394016.794646353" maxValue="84394016.794646353"/>
    </cacheField>
    <cacheField name="BDPK hallgatói bef." numFmtId="0">
      <sharedItems containsBlank="1" containsMixedTypes="1" containsNumber="1" containsInteger="1" minValue="-6908500" maxValue="5000000"/>
    </cacheField>
    <cacheField name="Művészeti gyakorlóhely" numFmtId="0">
      <sharedItems containsBlank="1" containsMixedTypes="1" containsNumber="1" containsInteger="1" minValue="-15000" maxValue="15000"/>
    </cacheField>
    <cacheField name="Kari kiválósági munkaszám" numFmtId="0">
      <sharedItems containsBlank="1" containsMixedTypes="1" containsNumber="1" minValue="-82593.07418823801" maxValue="20886890.681595221"/>
    </cacheField>
    <cacheField name="Lektorok" numFmtId="0">
      <sharedItems containsBlank="1" containsMixedTypes="1" containsNumber="1" minValue="-0.44000000134110451" maxValue="23305125.440000001"/>
    </cacheField>
    <cacheField name="Egyéb  célfeladataok" numFmtId="0">
      <sharedItems containsBlank="1" containsMixedTypes="1" containsNumber="1" containsInteger="1" minValue="0" maxValue="0"/>
    </cacheField>
    <cacheField name="Kari informatika" numFmtId="0">
      <sharedItems containsBlank="1" containsMixedTypes="1" containsNumber="1" containsInteger="1" minValue="0" maxValue="0"/>
    </cacheField>
    <cacheField name="FIKP" numFmtId="0">
      <sharedItems containsBlank="1" containsMixedTypes="1" containsNumber="1" containsInteger="1" minValue="0" maxValue="0"/>
    </cacheField>
    <cacheField name="TEKP" numFmtId="0">
      <sharedItems containsBlank="1" containsMixedTypes="1" containsNumber="1" containsInteger="1" minValue="0" maxValue="0"/>
    </cacheField>
    <cacheField name="Képzési munkaszámok" numFmtId="0">
      <sharedItems containsBlank="1" containsMixedTypes="1" containsNumber="1" minValue="-361967010.09553021" maxValue="553682093.97319067"/>
    </cacheField>
    <cacheField name="U1" numFmtId="0">
      <sharedItems containsBlank="1" containsMixedTypes="1" containsNumber="1" containsInteger="1" minValue="-21236" maxValue="723205"/>
    </cacheField>
    <cacheField name="U2" numFmtId="0">
      <sharedItems containsBlank="1" containsMixedTypes="1" containsNumber="1" containsInteger="1" minValue="0" maxValue="19731182"/>
    </cacheField>
    <cacheField name="U3" numFmtId="0">
      <sharedItems containsBlank="1" containsMixedTypes="1" containsNumber="1" containsInteger="1" minValue="-249268" maxValue="169468008"/>
    </cacheField>
    <cacheField name="Közterületesítés különbözet" numFmtId="0">
      <sharedItems containsBlank="1" containsMixedTypes="1" containsNumber="1" containsInteger="1" minValue="0" maxValue="1268176"/>
    </cacheField>
    <cacheField name="Előirányzat csökkentéshez hozzájárulás" numFmtId="0">
      <sharedItems containsBlank="1" containsMixedTypes="1" containsNumber="1" containsInteger="1" minValue="0" maxValue="10131830"/>
    </cacheField>
    <cacheField name="ÁKTH SZH" numFmtId="0">
      <sharedItems containsBlank="1" containsMixedTypes="1" containsNumber="1" minValue="-329069.96444709058" maxValue="194732714.59518746"/>
    </cacheField>
    <cacheField name="SZOCHO átadás " numFmtId="0">
      <sharedItems containsBlank="1" containsMixedTypes="1" containsNumber="1" containsInteger="1" minValue="0" maxValue="42158065"/>
    </cacheField>
    <cacheField name="Nemzetköziesítéshez átadás" numFmtId="0">
      <sharedItems containsBlank="1" containsMixedTypes="1" containsNumber="1" minValue="0" maxValue="95377.41"/>
    </cacheField>
    <cacheField name="Kiválósági Alap" numFmtId="0">
      <sharedItems containsBlank="1" containsMixedTypes="1" containsNumber="1" minValue="-8437.6913960792463" maxValue="4993146.5280817291"/>
    </cacheField>
    <cacheField name="EISZ" numFmtId="0">
      <sharedItems containsBlank="1" containsMixedTypes="1" containsNumber="1" containsInteger="1" minValue="0" maxValue="0"/>
    </cacheField>
    <cacheField name="Belföldi folyóirat" numFmtId="0">
      <sharedItems containsBlank="1" containsMixedTypes="1" containsNumber="1" containsInteger="1" minValue="0" maxValue="0"/>
    </cacheField>
    <cacheField name="Külföldi folyóirat" numFmtId="0">
      <sharedItems containsBlank="1" containsMixedTypes="1" containsNumber="1" containsInteger="1" minValue="0" maxValue="0"/>
    </cacheField>
    <cacheField name="Bp. tanárképzés működés" numFmtId="0">
      <sharedItems containsBlank="1" containsMixedTypes="1" containsNumber="1" containsInteger="1" minValue="0" maxValue="0"/>
    </cacheField>
    <cacheField name="Bp. tanárképzés gyakorlat" numFmtId="0">
      <sharedItems containsBlank="1" containsMixedTypes="1" containsNumber="1" containsInteger="1" minValue="0" maxValue="0"/>
    </cacheField>
    <cacheField name="Anyanyelvi kritériumvizsga" numFmtId="0">
      <sharedItems containsBlank="1" containsMixedTypes="1" containsNumber="1" containsInteger="1" minValue="0" maxValue="0"/>
    </cacheField>
    <cacheField name="Szhely. tanárképzés gyakorlat" numFmtId="0">
      <sharedItems containsBlank="1" containsMixedTypes="1" containsNumber="1" minValue="-2965575" maxValue="9945198.599999999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45">
  <r>
    <m/>
    <m/>
    <m/>
    <m/>
    <m/>
    <m/>
    <m/>
    <m/>
    <s v="2.A ÖSSZEGEI"/>
    <s v="TERVEZETT"/>
    <m/>
    <m/>
  </r>
  <r>
    <m/>
    <m/>
    <m/>
    <m/>
    <m/>
    <m/>
    <m/>
    <m/>
    <m/>
    <m/>
    <m/>
    <m/>
  </r>
  <r>
    <n v="2"/>
    <s v="Támogatás allokáció célszervezetre átoktatás után (2019. évi felosztási logika)"/>
    <s v="B"/>
    <m/>
    <s v="Támogatás allokáció célszervezetre átoktatás után (2019. évi felosztási logika)"/>
    <s v="B2A"/>
    <m/>
    <s v="ÖSSZEGZŐ SOR"/>
    <n v="322532888"/>
    <n v="322532888.44302475"/>
    <n v="-0.44302475452423096"/>
    <n v="322532888.44302475"/>
  </r>
  <r>
    <m/>
    <s v="Képzési támogatás"/>
    <s v="B"/>
    <s v="B1a."/>
    <s v="Képzési támogatás tervezése képzési munkaszámokra"/>
    <s v="BKÉ"/>
    <n v="320"/>
    <s v="Működési költségvetés támogatása - Képzés"/>
    <n v="105166091.74698077"/>
    <n v="105166091.74698077"/>
    <n v="0"/>
    <n v="105166091.74698077"/>
  </r>
  <r>
    <m/>
    <s v="Átoktatás átadás, támogatás"/>
    <s v="B"/>
    <s v="B1a."/>
    <s v="Átoktatás átadás, támogatás"/>
    <s v="BKÉ"/>
    <n v="343"/>
    <s v="T Átoktatásra támogatás ÁTADÁS"/>
    <n v="-2155679.0843714089"/>
    <n v="-2155679.0843714089"/>
    <n v="0"/>
    <n v="0"/>
  </r>
  <r>
    <m/>
    <s v="Átoktatással csökkentett képzési támogatás"/>
    <s v="B"/>
    <m/>
    <s v="Átoktatással csökkentett képzési támogatás áthozatala képzési munkaszámokról intézetekre / tanszékekre, általános munkaszámra, hivatalokra"/>
    <s v="B"/>
    <n v="333"/>
    <s v="T Képzési finanszírozás átadás"/>
    <n v="103010412.66260937"/>
    <n v="0"/>
    <n v="103010412.66260937"/>
    <n v="0"/>
  </r>
  <r>
    <m/>
    <s v="Átoktatással csökkentett képzési támogatás"/>
    <s v="B"/>
    <m/>
    <s v="Képzési támogatás felosztása általános munkaszámról intézetekre / tanszékekre"/>
    <s v="B"/>
    <n v="333"/>
    <s v="T Képzési finanszírozás átadás"/>
    <n v="0"/>
    <n v="0"/>
    <n v="0"/>
    <n v="0"/>
  </r>
  <r>
    <m/>
    <s v="Átoktatással csökkentett képzési támogatás"/>
    <s v="B"/>
    <m/>
    <s v="Képzési támogatás felosztása általános munkaszámról intézetekre / tanszékekre"/>
    <s v="B"/>
    <n v="333"/>
    <s v="T Képzési finanszírozás átadás"/>
    <n v="0"/>
    <n v="0"/>
    <n v="0"/>
    <n v="0"/>
  </r>
  <r>
    <m/>
    <s v="Átoktatással csökkentett képzési támogatás"/>
    <s v="B"/>
    <m/>
    <s v="Képzési támogatás felosztása általános munkaszámról intézetekre / tanszékekre"/>
    <s v="B"/>
    <n v="333"/>
    <s v="T Képzési finanszírozás átadás"/>
    <n v="0"/>
    <n v="0"/>
    <n v="0"/>
    <n v="0"/>
  </r>
  <r>
    <m/>
    <s v="Átoktatással csökkentett képzési támogatás"/>
    <s v="B"/>
    <m/>
    <s v="Képzési támogatás felosztása általános munkaszámról intézetekre / tanszékekre"/>
    <s v="B"/>
    <n v="333"/>
    <s v="T Képzési finanszírozás átadás"/>
    <n v="0"/>
    <n v="0"/>
    <n v="0"/>
    <n v="0"/>
  </r>
  <r>
    <m/>
    <s v="Átoktatással csökkentett képzési támogatás"/>
    <s v="B"/>
    <m/>
    <s v="Képzési támogatás felosztása hivatalokról intézetekre / tanszékekre"/>
    <s v="B"/>
    <n v="333"/>
    <s v="T Képzési finanszírozás átadás"/>
    <n v="0"/>
    <n v="0"/>
    <n v="0"/>
    <n v="0"/>
  </r>
  <r>
    <m/>
    <s v="Átoktatás átvétel, támogatás"/>
    <s v="B"/>
    <s v="B1.b."/>
    <s v="Átoktatás átvétel, támogatás"/>
    <s v="B"/>
    <n v="349"/>
    <s v="T Átoktatásra támogatás ÁTVÉTEL"/>
    <n v="219522475.78041548"/>
    <n v="219522475.78041542"/>
    <n v="0"/>
    <n v="0"/>
  </r>
  <r>
    <m/>
    <s v="Átoktatás átvétel, támogatás"/>
    <s v="B"/>
    <s v="B1.b."/>
    <s v="Átoktatás átvétel, támogatás felosztása általános munkaszámról intézetekre / tanszékekre"/>
    <s v="B"/>
    <n v="349"/>
    <s v="T Átoktatásra támogatás ÁTVÉTEL"/>
    <n v="0"/>
    <n v="0"/>
    <n v="0"/>
    <n v="0"/>
  </r>
  <r>
    <m/>
    <s v="Átoktatás átvétel, támogatás"/>
    <s v="B"/>
    <s v="B1.b."/>
    <s v="Átoktatás átvétel, támogatás felosztása hivatalokról intézetekre / tanszékekre"/>
    <s v="B"/>
    <n v="349"/>
    <s v="T Átoktatásra támogatás ÁTVÉTEL"/>
    <n v="0"/>
    <n v="0"/>
    <n v="0"/>
    <n v="0"/>
  </r>
  <r>
    <n v="4"/>
    <s v="Képzési saját bevételek célszervezetre átoktatás után"/>
    <s v="B"/>
    <m/>
    <s v="Képzési saját bevételek célszervezetre átoktatás után"/>
    <s v="B2A"/>
    <m/>
    <s v="ÖSSZEGZŐ SOR"/>
    <n v="26827084"/>
    <n v="26827083.782376859"/>
    <n v="0.21762314066290855"/>
    <n v="26827083.782376859"/>
  </r>
  <r>
    <m/>
    <s v="Önköltséges képzési bevétel"/>
    <s v="B"/>
    <s v="B2.a. "/>
    <s v="Önköltséges képzési bevétel tervezése képzési munkaszámokra"/>
    <s v="BKÉ"/>
    <n v="255"/>
    <s v="Ell.díjak - Neptun - Önktg. Költségtérítés"/>
    <n v="8617440.4903810564"/>
    <n v="8617440.4903810564"/>
    <n v="0"/>
    <n v="8617440.4903810564"/>
  </r>
  <r>
    <m/>
    <s v="Átoktatás átadás, önköltséges"/>
    <s v="B"/>
    <s v="B2.a. "/>
    <s v="Átoktatás átadás, önköltséges"/>
    <s v="BKÉ"/>
    <n v="294"/>
    <s v="SB Átoktatásra bevétel ÁTADÁS"/>
    <n v="-138909.41664954461"/>
    <n v="-138909.41664954461"/>
    <n v="0"/>
    <n v="0"/>
  </r>
  <r>
    <m/>
    <s v="Átoktatással csökkentett önköltséges képzési bevétel"/>
    <s v="B"/>
    <m/>
    <s v="Átoktatással csökkentett önköltséges képzési bevétel áthozatala képzési munkaszámokról intézetekre / tanszékekre, általános munkaszámra, hivatalokra"/>
    <s v="B"/>
    <n v="286"/>
    <s v="SB Képzési finanszírozás átadás"/>
    <n v="8478531.0737315118"/>
    <n v="0"/>
    <n v="8478531.0737315118"/>
    <n v="0"/>
  </r>
  <r>
    <m/>
    <s v="Átoktatással csökkentett önköltséges képzési bevétel"/>
    <s v="B"/>
    <m/>
    <s v="Önköltséges képzési bevétel felosztása általános munkaszámról intézetekre / tanszékekre"/>
    <s v="B"/>
    <n v="286"/>
    <s v="SB Képzési finanszírozás átadás"/>
    <n v="0"/>
    <n v="0"/>
    <n v="0"/>
    <n v="0"/>
  </r>
  <r>
    <m/>
    <s v="Átoktatással csökkentett önköltséges képzési bevétel"/>
    <s v="B"/>
    <m/>
    <s v="Önköltséges képzési bevétel felosztása általános munkaszámról intézetekre / tanszékekre"/>
    <s v="B"/>
    <n v="286"/>
    <s v="SB Képzési finanszírozás átadás"/>
    <n v="0"/>
    <n v="0"/>
    <n v="0"/>
    <n v="0"/>
  </r>
  <r>
    <m/>
    <s v="Átoktatással csökkentett önköltséges képzési bevétel"/>
    <s v="B"/>
    <m/>
    <s v="Önköltséges képzési bevétel felosztása általános munkaszámról intézetekre / tanszékekre"/>
    <s v="B"/>
    <n v="286"/>
    <s v="SB Képzési finanszírozás átadás"/>
    <n v="0"/>
    <n v="0"/>
    <n v="0"/>
    <n v="0"/>
  </r>
  <r>
    <m/>
    <s v="Átoktatással csökkentett önköltséges képzési bevétel"/>
    <s v="B"/>
    <m/>
    <s v="Önköltséges képzési bevétel felosztása általános munkaszámról intézetekre / tanszékekre"/>
    <s v="B"/>
    <n v="286"/>
    <s v="SB Képzési finanszírozás átadás"/>
    <n v="0"/>
    <n v="0"/>
    <n v="0"/>
    <n v="0"/>
  </r>
  <r>
    <m/>
    <s v="Átoktatással csökkentett önköltséges képzési bevétel"/>
    <s v="B"/>
    <m/>
    <s v="Önköltséges képzési bevétel felosztása hivatalokról intézetekre / tanszékekre"/>
    <s v="B"/>
    <n v="286"/>
    <s v="SB Képzési finanszírozás átadás"/>
    <n v="0"/>
    <n v="0"/>
    <n v="0"/>
    <n v="0"/>
  </r>
  <r>
    <m/>
    <s v="Átoktatás átvétel, önköltséges bevétel"/>
    <s v="B"/>
    <s v="B2.b. "/>
    <s v="Átoktatás átvétel, önköltséges bevétel"/>
    <s v="B"/>
    <n v="301"/>
    <s v="SB Átoktatásra bevétel ÁTVÉTEL"/>
    <n v="18348552.708645355"/>
    <n v="18348552.708645351"/>
    <n v="0"/>
    <n v="0"/>
  </r>
  <r>
    <m/>
    <s v="Átoktatás átvétel, önköltséges bevétel"/>
    <s v="B"/>
    <s v="B2.b. "/>
    <s v="Átoktatás átvétel, önköltséges bevétel felosztása általános munkaszámról intézetekre / tanszékekre"/>
    <s v="B"/>
    <n v="301"/>
    <s v="SB Átoktatásra bevétel ÁTVÉTEL"/>
    <n v="0"/>
    <n v="0"/>
    <n v="0"/>
    <n v="0"/>
  </r>
  <r>
    <m/>
    <s v="Átoktatás átvétel, önköltséges bevétel"/>
    <s v="B"/>
    <s v="B2.b. "/>
    <s v="Átoktatás átvétel, önköltséges bevétel felosztása hivatalokról intézetekre / tanszékekre"/>
    <s v="B"/>
    <n v="301"/>
    <s v="SB Átoktatásra bevétel ÁTVÉTEL"/>
    <n v="0"/>
    <n v="0"/>
    <n v="0"/>
    <n v="0"/>
  </r>
  <r>
    <n v="5"/>
    <s v="Egyéb saját bevételek"/>
    <s v="B"/>
    <s v="B5. "/>
    <s v="Egyéb saját bevételek"/>
    <s v="B2A"/>
    <m/>
    <s v="ÖSSZEGZŐ SOR"/>
    <n v="28138193"/>
    <n v="28138193.000000004"/>
    <n v="0"/>
    <n v="28138193.000000004"/>
  </r>
  <r>
    <m/>
    <m/>
    <m/>
    <m/>
    <s v="Egyéb saját bevételek"/>
    <s v="B"/>
    <m/>
    <s v="ÖSSZESEN: töltendő, ha nincs alábontás"/>
    <n v="28138193"/>
    <n v="28138193.000000004"/>
    <n v="0"/>
    <n v="28138193.000000004"/>
  </r>
  <r>
    <m/>
    <m/>
    <m/>
    <m/>
    <s v="Egyéb saját bevételek"/>
    <s v="B"/>
    <n v="233"/>
    <s v="Vásárolt. saját előállítású  jegyzet. tankönyv értékesít."/>
    <m/>
    <n v="0"/>
    <n v="0"/>
    <n v="0"/>
  </r>
  <r>
    <m/>
    <m/>
    <m/>
    <m/>
    <s v="Egyéb saját bevételek"/>
    <s v="B"/>
    <n v="234"/>
    <s v="Egyéb áru és készletértékesítés"/>
    <m/>
    <n v="0"/>
    <n v="0"/>
    <n v="0"/>
  </r>
  <r>
    <m/>
    <m/>
    <m/>
    <m/>
    <s v="Egyéb saját bevételek"/>
    <s v="B"/>
    <n v="235"/>
    <s v="Gyakorló kert bevételei"/>
    <m/>
    <n v="0"/>
    <n v="0"/>
    <n v="0"/>
  </r>
  <r>
    <m/>
    <m/>
    <m/>
    <m/>
    <s v="Egyéb saját bevételek"/>
    <s v="B"/>
    <n v="236"/>
    <s v="ÁRU-ÉS KÉSZLET ÉRTÉKESÍTÉS ELLENÉRTÉKE"/>
    <m/>
    <n v="0"/>
    <n v="0"/>
    <n v="0"/>
  </r>
  <r>
    <m/>
    <m/>
    <m/>
    <m/>
    <s v="Egyéb saját bevételek"/>
    <s v="B"/>
    <n v="237"/>
    <s v="Oktatási bevételek (tanfolyamok stb.)"/>
    <m/>
    <n v="0"/>
    <n v="0"/>
    <n v="0"/>
  </r>
  <r>
    <m/>
    <m/>
    <m/>
    <m/>
    <s v="Egyéb saját bevételek"/>
    <s v="B"/>
    <n v="238"/>
    <s v="K + F tevékenység bevételei"/>
    <m/>
    <n v="0"/>
    <n v="0"/>
    <n v="0"/>
  </r>
  <r>
    <m/>
    <m/>
    <m/>
    <m/>
    <s v="Egyéb saját bevételek"/>
    <s v="B"/>
    <n v="239"/>
    <s v="Tárgyi eszköz bérbeadásából származó bevétel"/>
    <m/>
    <n v="0"/>
    <n v="0"/>
    <n v="0"/>
  </r>
  <r>
    <m/>
    <m/>
    <m/>
    <m/>
    <s v="Egyéb saját bevételek"/>
    <s v="B"/>
    <n v="240"/>
    <s v="Bérleti és lízing díjbevételek"/>
    <m/>
    <n v="0"/>
    <n v="0"/>
    <n v="0"/>
  </r>
  <r>
    <m/>
    <m/>
    <m/>
    <m/>
    <s v="Egyéb saját bevételek"/>
    <s v="B"/>
    <n v="241"/>
    <s v="Parkolási díjbevétel"/>
    <m/>
    <n v="0"/>
    <n v="0"/>
    <n v="0"/>
  </r>
  <r>
    <m/>
    <m/>
    <m/>
    <m/>
    <s v="Egyéb saját bevételek"/>
    <s v="B"/>
    <n v="242"/>
    <s v="Vendéglátók által üzem0101tett étterem. büfé bérleti díja"/>
    <m/>
    <n v="0"/>
    <n v="0"/>
    <n v="0"/>
  </r>
  <r>
    <m/>
    <m/>
    <m/>
    <m/>
    <s v="Egyéb saját bevételek"/>
    <s v="B"/>
    <n v="243"/>
    <s v="Kollégiumhasznosítással kapcs.bevételek (5% ÁFA)"/>
    <m/>
    <n v="0"/>
    <n v="0"/>
    <n v="0"/>
  </r>
  <r>
    <m/>
    <m/>
    <m/>
    <m/>
    <s v="Egyéb saját bevételek"/>
    <s v="B"/>
    <n v="244"/>
    <s v="Egyéb szolgáltatások bevételei"/>
    <m/>
    <n v="0"/>
    <n v="0"/>
    <n v="0"/>
  </r>
  <r>
    <m/>
    <m/>
    <m/>
    <m/>
    <s v="Egyéb saját bevételek"/>
    <s v="B"/>
    <n v="245"/>
    <s v="Étkezési térítési díj (alkalmazotti)"/>
    <m/>
    <n v="0"/>
    <n v="0"/>
    <n v="0"/>
  </r>
  <r>
    <m/>
    <m/>
    <m/>
    <m/>
    <s v="Egyéb saját bevételek"/>
    <s v="B"/>
    <n v="246"/>
    <s v="Lakbér"/>
    <m/>
    <n v="0"/>
    <n v="0"/>
    <n v="0"/>
  </r>
  <r>
    <m/>
    <m/>
    <m/>
    <m/>
    <s v="Egyéb saját bevételek"/>
    <s v="B"/>
    <n v="247"/>
    <s v="Üdülési díj"/>
    <m/>
    <n v="0"/>
    <n v="0"/>
    <n v="0"/>
  </r>
  <r>
    <m/>
    <m/>
    <m/>
    <m/>
    <s v="Egyéb saját bevételek"/>
    <s v="B"/>
    <n v="248"/>
    <s v="SZOLGÁLTATÁSOK ELLENÉRTÉKE"/>
    <m/>
    <n v="0"/>
    <n v="0"/>
    <n v="0"/>
  </r>
  <r>
    <m/>
    <m/>
    <m/>
    <m/>
    <s v="Egyéb saját bevételek"/>
    <s v="B"/>
    <n v="249"/>
    <s v="Közvetített szolgáltatások ellenértéke ÁH-n belül"/>
    <m/>
    <n v="0"/>
    <n v="0"/>
    <n v="0"/>
  </r>
  <r>
    <m/>
    <m/>
    <m/>
    <m/>
    <s v="Egyéb saját bevételek"/>
    <s v="B"/>
    <n v="250"/>
    <s v="Közvetített szolgáltatások ellenértéke ÁH-n kívül (Áfa mentes)"/>
    <m/>
    <n v="0"/>
    <n v="0"/>
    <n v="0"/>
  </r>
  <r>
    <m/>
    <m/>
    <m/>
    <m/>
    <s v="Egyéb saját bevételek"/>
    <s v="B"/>
    <n v="251"/>
    <s v="KÖZVETÍTETT SZOLGÁLTATÁSOK BEVÉTELE"/>
    <m/>
    <n v="0"/>
    <n v="0"/>
    <n v="0"/>
  </r>
  <r>
    <m/>
    <m/>
    <m/>
    <m/>
    <s v="Egyéb saját bevételek"/>
    <s v="B"/>
    <n v="252"/>
    <s v="Ell.díjak - Köznevelési ell. - Óvodai ellátottak térítési díja"/>
    <m/>
    <n v="0"/>
    <n v="0"/>
    <n v="0"/>
  </r>
  <r>
    <m/>
    <m/>
    <m/>
    <m/>
    <s v="Egyéb saját bevételek"/>
    <s v="B"/>
    <n v="253"/>
    <s v="Ell.díjak - Köznevelési ell. - Általános iskolások étkezési díja"/>
    <m/>
    <n v="0"/>
    <n v="0"/>
    <n v="0"/>
  </r>
  <r>
    <m/>
    <m/>
    <m/>
    <m/>
    <s v="Egyéb saját bevételek"/>
    <s v="B"/>
    <n v="254"/>
    <s v="Ell.díjak - Köznevelési ell. - Középiskolások étkezési díja"/>
    <m/>
    <n v="0"/>
    <n v="0"/>
    <n v="0"/>
  </r>
  <r>
    <m/>
    <m/>
    <m/>
    <m/>
    <s v="Egyéb saját bevételek"/>
    <s v="B"/>
    <n v="255"/>
    <s v="Ell.díjak - Neptun - Önktg. Költségtérítés"/>
    <m/>
    <n v="0"/>
    <n v="0"/>
    <n v="0"/>
  </r>
  <r>
    <m/>
    <m/>
    <m/>
    <m/>
    <s v="Egyéb saját bevételek"/>
    <s v="B"/>
    <n v="256"/>
    <s v="Ell.díjak-Neptun-Egyéb szolg.d.- Felv.iratk.díjak (regiszt.) KTGTÉR"/>
    <m/>
    <n v="0"/>
    <n v="0"/>
    <n v="0"/>
  </r>
  <r>
    <m/>
    <m/>
    <m/>
    <m/>
    <s v="Egyéb saját bevételek"/>
    <s v="B"/>
    <n v="257"/>
    <s v="Ell.díjak-Neptun-Egyéb szolg.d.-Tantárgyi vizsgaismétlési díj (UV díj)"/>
    <m/>
    <n v="0"/>
    <n v="0"/>
    <n v="0"/>
  </r>
  <r>
    <m/>
    <m/>
    <m/>
    <m/>
    <s v="Egyéb saját bevételek"/>
    <s v="B"/>
    <n v="258"/>
    <s v="Ell.díjak-Neptun-Egyéb szolg.d. - Tantárgyismétlési díj"/>
    <m/>
    <n v="0"/>
    <n v="0"/>
    <n v="0"/>
  </r>
  <r>
    <m/>
    <m/>
    <m/>
    <m/>
    <s v="Egyéb saját bevételek"/>
    <s v="B"/>
    <n v="259"/>
    <s v="Ell.díjak-Neptun-Egyéb szolg.d.-Oklevél, diplomakiállítási díj"/>
    <m/>
    <n v="0"/>
    <n v="0"/>
    <n v="0"/>
  </r>
  <r>
    <m/>
    <m/>
    <m/>
    <m/>
    <s v="Egyéb saját bevételek"/>
    <s v="B"/>
    <n v="260"/>
    <s v="Ell.díjak-Neptun-Egyéb szolg.d.-Kredittúllépés, kreditkihagyási díj"/>
    <m/>
    <n v="0"/>
    <n v="0"/>
    <n v="0"/>
  </r>
  <r>
    <m/>
    <m/>
    <m/>
    <m/>
    <s v="Egyéb saját bevételek"/>
    <s v="B"/>
    <n v="261"/>
    <s v="Ell.díjak-Neptun-Egyéb szolg.d. - Nyelvvizsga díj"/>
    <m/>
    <n v="0"/>
    <n v="0"/>
    <n v="0"/>
  </r>
  <r>
    <m/>
    <m/>
    <m/>
    <m/>
    <s v="Egyéb saját bevételek"/>
    <s v="B"/>
    <n v="262"/>
    <s v="Ell.díjak-Neptun-Egyéb szolg.d. - Utólagos kurzusfelvétel. leadás"/>
    <m/>
    <n v="0"/>
    <n v="0"/>
    <n v="0"/>
  </r>
  <r>
    <m/>
    <m/>
    <m/>
    <m/>
    <s v="Egyéb saját bevételek"/>
    <s v="B"/>
    <n v="263"/>
    <s v="Ell.díjak-Neptun-Egyéb szolg.d. - Késedelmes leadás. felvétel"/>
    <m/>
    <n v="0"/>
    <n v="0"/>
    <n v="0"/>
  </r>
  <r>
    <m/>
    <m/>
    <m/>
    <m/>
    <s v="Egyéb saját bevételek"/>
    <s v="B"/>
    <n v="264"/>
    <s v="Ell.díjak-Neptun-Egyéb szolg.d. - Késedelmes befizetés"/>
    <m/>
    <n v="0"/>
    <n v="0"/>
    <n v="0"/>
  </r>
  <r>
    <m/>
    <m/>
    <m/>
    <m/>
    <s v="Egyéb saját bevételek"/>
    <s v="B"/>
    <n v="265"/>
    <s v="Ell.díjak-Neptun-Egyéb szolg.d.-Kreditenkénti költségtérítés - túlfutók"/>
    <m/>
    <n v="0"/>
    <n v="0"/>
    <n v="0"/>
  </r>
  <r>
    <m/>
    <m/>
    <m/>
    <m/>
    <s v="Egyéb saját bevételek"/>
    <s v="B"/>
    <n v="266"/>
    <s v="Ell.díjak-Neptun-Egyéb szolg.d.- Doktori eljárási díjak"/>
    <m/>
    <n v="0"/>
    <n v="0"/>
    <n v="0"/>
  </r>
  <r>
    <m/>
    <m/>
    <m/>
    <m/>
    <s v="Egyéb saját bevételek"/>
    <s v="B"/>
    <n v="267"/>
    <s v="Ell.díjak-Neptun-Egyéb szolg.d.-Egyéb különeljárási és késedelmi díjak"/>
    <m/>
    <n v="0"/>
    <n v="0"/>
    <n v="0"/>
  </r>
  <r>
    <m/>
    <m/>
    <m/>
    <m/>
    <s v="Egyéb saját bevételek"/>
    <s v="B"/>
    <n v="268"/>
    <s v="Ell.díjak - Neptun - Kollégiumi bevételek"/>
    <m/>
    <n v="0"/>
    <n v="0"/>
    <n v="0"/>
  </r>
  <r>
    <m/>
    <m/>
    <m/>
    <m/>
    <s v="Egyéb saját bevételek"/>
    <s v="B"/>
    <n v="269"/>
    <s v="Ell.díjak - NEM Neptun -Habilitációs díjak"/>
    <m/>
    <n v="0"/>
    <n v="0"/>
    <n v="0"/>
  </r>
  <r>
    <m/>
    <m/>
    <m/>
    <m/>
    <s v="Egyéb saját bevételek"/>
    <s v="B"/>
    <n v="270"/>
    <s v="Ell.díjak - NEM Neptun rendszeren keresztül beszedett bev."/>
    <m/>
    <n v="0"/>
    <n v="0"/>
    <n v="0"/>
  </r>
  <r>
    <m/>
    <m/>
    <m/>
    <m/>
    <s v="Egyéb saját bevételek"/>
    <s v="B"/>
    <n v="271"/>
    <s v="ELLÁTÁSI DÍJAK"/>
    <m/>
    <n v="0"/>
    <n v="0"/>
    <n v="0"/>
  </r>
  <r>
    <m/>
    <m/>
    <m/>
    <m/>
    <s v="Egyéb saját bevételek"/>
    <s v="B"/>
    <n v="272"/>
    <s v="Egyenes adós ÁFA anyag"/>
    <m/>
    <n v="0"/>
    <n v="0"/>
    <n v="0"/>
  </r>
  <r>
    <m/>
    <m/>
    <m/>
    <m/>
    <s v="Egyéb saját bevételek"/>
    <s v="B"/>
    <n v="273"/>
    <s v="Egyenes adós ÁFA szolgáltatás"/>
    <m/>
    <n v="0"/>
    <n v="0"/>
    <n v="0"/>
  </r>
  <r>
    <m/>
    <m/>
    <m/>
    <m/>
    <s v="Egyéb saját bevételek"/>
    <s v="B"/>
    <n v="274"/>
    <s v="Egyenes adós ÁFA beruházás (Értékesített t.eszk.áfa)"/>
    <m/>
    <n v="0"/>
    <n v="0"/>
    <n v="0"/>
  </r>
  <r>
    <m/>
    <m/>
    <m/>
    <m/>
    <s v="Egyéb saját bevételek"/>
    <s v="B"/>
    <n v="275"/>
    <s v="KISZÁMLÁZOTT ÁFA"/>
    <m/>
    <n v="0"/>
    <n v="0"/>
    <n v="0"/>
  </r>
  <r>
    <m/>
    <m/>
    <m/>
    <m/>
    <s v="Egyéb saját bevételek"/>
    <s v="B"/>
    <n v="276"/>
    <s v="Működési kiadásokhoz kapcs ÁFA visszatér bev"/>
    <m/>
    <n v="0"/>
    <n v="0"/>
    <n v="0"/>
  </r>
  <r>
    <m/>
    <m/>
    <m/>
    <m/>
    <s v="Egyéb saját bevételek"/>
    <s v="B"/>
    <n v="277"/>
    <s v="ÁFA VISSZATÉRÜLÉS"/>
    <m/>
    <n v="0"/>
    <n v="0"/>
    <n v="0"/>
  </r>
  <r>
    <m/>
    <m/>
    <m/>
    <m/>
    <s v="Egyéb saját bevételek"/>
    <s v="B"/>
    <n v="278"/>
    <s v="Áht kiv. egyéb kamat-, kamatjellegű e/bevét"/>
    <m/>
    <n v="0"/>
    <n v="0"/>
    <n v="0"/>
  </r>
  <r>
    <m/>
    <m/>
    <m/>
    <m/>
    <s v="Egyéb saját bevételek"/>
    <s v="B"/>
    <n v="279"/>
    <s v="KAMATBEVÉTELEK"/>
    <m/>
    <n v="0"/>
    <n v="0"/>
    <n v="0"/>
  </r>
  <r>
    <m/>
    <m/>
    <m/>
    <m/>
    <s v="Egyéb saját bevételek"/>
    <s v="B"/>
    <n v="280"/>
    <s v="Évközi realizált árf. nyereség AUT"/>
    <m/>
    <n v="0"/>
    <n v="0"/>
    <n v="0"/>
  </r>
  <r>
    <m/>
    <m/>
    <m/>
    <m/>
    <s v="Egyéb saját bevételek"/>
    <s v="B"/>
    <n v="281"/>
    <s v="Évközi realizált árf. nyereség"/>
    <m/>
    <n v="0"/>
    <n v="0"/>
    <n v="0"/>
  </r>
  <r>
    <m/>
    <m/>
    <m/>
    <m/>
    <s v="Egyéb saját bevételek"/>
    <s v="B"/>
    <n v="282"/>
    <s v="Egyéb pénzügyi műv.e.eredmsz.bevétele"/>
    <m/>
    <n v="0"/>
    <n v="0"/>
    <n v="0"/>
  </r>
  <r>
    <m/>
    <m/>
    <m/>
    <m/>
    <s v="Egyéb saját bevételek"/>
    <s v="B"/>
    <n v="283"/>
    <s v="EGYÉB PÉNZÜGYI MŰVELETEK BEVÉTELEI"/>
    <m/>
    <n v="0"/>
    <n v="0"/>
    <n v="0"/>
  </r>
  <r>
    <m/>
    <m/>
    <m/>
    <m/>
    <s v="Egyéb saját bevételek"/>
    <s v="B"/>
    <n v="284"/>
    <s v="Biztosító által fizetett kártérítés"/>
    <m/>
    <n v="0"/>
    <n v="0"/>
    <n v="0"/>
  </r>
  <r>
    <n v="6"/>
    <s v="Egyéb finanszírozású költségvetési bevétel allokáció célszervezetre"/>
    <s v="B"/>
    <m/>
    <s v="Egyéb finanszírozású költségvetési bevétel allokáció célszervezetre"/>
    <s v="B2A"/>
    <m/>
    <s v="ÖSSZEGZŐ SOR"/>
    <n v="949293"/>
    <n v="949292.70801568264"/>
    <n v="0.29198431735858321"/>
    <n v="949292.70801568264"/>
  </r>
  <r>
    <m/>
    <s v="Egyéb finanszírozású képzési bevétel"/>
    <s v="B"/>
    <s v="B3.a. "/>
    <s v="Egyéb finanszírozású képzési bevétel tervezése képzési munkaszámokra"/>
    <s v="BKÉ"/>
    <n v="255"/>
    <s v="Ell.díjak - Neptun - Önktg. Költségtérítés"/>
    <n v="482559.50979000004"/>
    <n v="482559.50979000004"/>
    <n v="0"/>
    <n v="482559.50979000004"/>
  </r>
  <r>
    <m/>
    <s v="Átoktatás átadás, egyéb finanszírozású bevétel"/>
    <s v="B"/>
    <s v="B3.a. "/>
    <s v="Átoktatás átadás, egyéb finanszírozású bevétel"/>
    <s v="BKÉ"/>
    <n v="294"/>
    <s v="SB Átoktatásra bevétel ÁTADÁS"/>
    <n v="0"/>
    <n v="0"/>
    <n v="0"/>
    <n v="0"/>
  </r>
  <r>
    <m/>
    <s v="Átoktatással csökkentett egyéb finanszírozású képzési bevétel"/>
    <s v="B"/>
    <m/>
    <s v="Átoktatással csökkentett egyéb finanszírozású képzési bevétel áthozatala képzési munkaszámokról intézetekre / tanszékekre, általános munkaszámra, hivatalokra"/>
    <s v="B"/>
    <n v="286"/>
    <s v="SB Képzési finanszírozás átadás"/>
    <n v="482559.50979000004"/>
    <n v="0"/>
    <n v="482559.50979000004"/>
    <n v="0"/>
  </r>
  <r>
    <m/>
    <s v="Átoktatással csökkentett egyéb finanszírozású képzési bevétel"/>
    <s v="B"/>
    <m/>
    <s v="Egyéb finanszírozású képzési bevétel felosztása általános munkaszámról intézetekre / tanszékekre"/>
    <s v="B"/>
    <n v="286"/>
    <s v="SB Képzési finanszírozás átadás"/>
    <n v="0"/>
    <n v="0"/>
    <n v="0"/>
    <n v="0"/>
  </r>
  <r>
    <m/>
    <s v="Átoktatással csökkentett egyéb finanszírozású képzési bevétel"/>
    <s v="B"/>
    <m/>
    <s v="Egyéb finanszírozású képzési bevétel felosztása általános munkaszámról intézetekre / tanszékekre"/>
    <s v="B"/>
    <n v="286"/>
    <s v="SB Képzési finanszírozás átadás"/>
    <n v="0"/>
    <n v="0"/>
    <n v="0"/>
    <n v="0"/>
  </r>
  <r>
    <m/>
    <s v="Átoktatással csökkentett egyéb finanszírozású képzési bevétel"/>
    <s v="B"/>
    <m/>
    <s v="Egyéb finanszírozású képzési bevétel felosztása általános munkaszámról intézetekre / tanszékekre"/>
    <s v="B"/>
    <n v="286"/>
    <s v="SB Képzési finanszírozás átadás"/>
    <n v="0"/>
    <n v="0"/>
    <n v="0"/>
    <n v="0"/>
  </r>
  <r>
    <m/>
    <s v="Átoktatással csökkentett egyéb finanszírozású képzési bevétel"/>
    <s v="B"/>
    <m/>
    <s v="Egyéb finanszírozású képzési bevétel felosztása általános munkaszámról intézetekre / tanszékekre"/>
    <s v="B"/>
    <n v="286"/>
    <s v="SB Képzési finanszírozás átadás"/>
    <n v="0"/>
    <n v="0"/>
    <n v="0"/>
    <n v="0"/>
  </r>
  <r>
    <m/>
    <s v="Átoktatással csökkentett egyéb finanszírozású képzési bevétel"/>
    <s v="B"/>
    <m/>
    <s v="Egyéb finanszírozású képzési bevétel felosztása hivatalokról intézetekre / tanszékekre"/>
    <s v="B"/>
    <n v="286"/>
    <s v="SB Képzési finanszírozás átadás"/>
    <n v="0"/>
    <n v="0"/>
    <n v="0"/>
    <n v="0"/>
  </r>
  <r>
    <m/>
    <s v="Átoktatás átvétel, egyéb finanszírozású bevétel"/>
    <s v="B"/>
    <s v="B3.b. "/>
    <s v="Átoktatás átvétel, egyéb finanszírozású bevétel"/>
    <s v="B"/>
    <n v="301"/>
    <s v="SB Átoktatásra bevétel ÁTVÉTEL"/>
    <n v="466733.1982256826"/>
    <n v="466733.19822568266"/>
    <n v="0"/>
    <n v="0"/>
  </r>
  <r>
    <m/>
    <s v="Átoktatás átvétel, egyéb finanszírozású bevétel"/>
    <s v="B"/>
    <s v="B3.b. "/>
    <s v="Átoktatás átvétel, egyéb finanszírozású bevétel felosztása általános munkaszámról intézetekre / tanszékekre"/>
    <s v="B"/>
    <n v="301"/>
    <s v="SB Átoktatásra bevétel ÁTVÉTEL"/>
    <n v="0"/>
    <n v="0"/>
    <n v="0"/>
    <n v="0"/>
  </r>
  <r>
    <m/>
    <s v="Átoktatás átvétel, egyéb finanszírozású bevétel"/>
    <s v="B"/>
    <s v="B3.b. "/>
    <s v="Átoktatás átvétel, egyéb finanszírozású bevétel felosztása hivatalokról intézetekre / tanszékekre"/>
    <s v="B"/>
    <n v="301"/>
    <s v="SB Átoktatásra bevétel ÁTVÉTEL"/>
    <n v="0"/>
    <n v="0"/>
    <n v="0"/>
    <n v="0"/>
  </r>
  <r>
    <n v="7"/>
    <s v="Oktatói béremelés fedezete (2018. évi arányban)"/>
    <s v="B"/>
    <s v="B6. "/>
    <s v="Oktatói béremelés fedezete (2018. évi arányban)"/>
    <s v="B2A"/>
    <n v="322"/>
    <s v="Működési költségvetés támogatása - Céltámogatás"/>
    <n v="24079000"/>
    <n v="24079000"/>
    <n v="0"/>
    <n v="24079000"/>
  </r>
  <r>
    <n v="8"/>
    <s v="ÁKTH alá tartozó speciális feladatok"/>
    <s v="B"/>
    <m/>
    <s v="ÁKTH alá tartozó speciális feladatok"/>
    <s v="B2A"/>
    <m/>
    <s v="ÖSSZEGZŐ SOR"/>
    <n v="0"/>
    <n v="0"/>
    <n v="0"/>
    <n v="0"/>
  </r>
  <r>
    <m/>
    <m/>
    <m/>
    <m/>
    <m/>
    <s v="B"/>
    <n v="322"/>
    <s v="Működési költségvetés támogatása - Céltámogatás"/>
    <n v="0"/>
    <n v="0"/>
    <n v="0"/>
    <n v="0"/>
  </r>
  <r>
    <m/>
    <m/>
    <m/>
    <m/>
    <m/>
    <s v="B"/>
    <n v="322"/>
    <s v="Működési költségvetés támogatása - Céltámogatás"/>
    <n v="0"/>
    <n v="0"/>
    <n v="0"/>
    <n v="0"/>
  </r>
  <r>
    <m/>
    <m/>
    <m/>
    <m/>
    <m/>
    <s v="B"/>
    <n v="322"/>
    <s v="Működési költségvetés támogatása - Céltámogatás"/>
    <n v="0"/>
    <n v="0"/>
    <n v="0"/>
    <n v="0"/>
  </r>
  <r>
    <m/>
    <m/>
    <m/>
    <m/>
    <m/>
    <s v="B"/>
    <n v="322"/>
    <s v="Működési költségvetés támogatása - Céltámogatás"/>
    <n v="0"/>
    <n v="0"/>
    <n v="0"/>
    <n v="0"/>
  </r>
  <r>
    <m/>
    <m/>
    <m/>
    <m/>
    <m/>
    <s v="B"/>
    <n v="322"/>
    <s v="Működési költségvetés támogatása - Céltámogatás"/>
    <n v="0"/>
    <n v="0"/>
    <n v="0"/>
    <n v="0"/>
  </r>
  <r>
    <m/>
    <m/>
    <m/>
    <m/>
    <m/>
    <s v="B"/>
    <n v="322"/>
    <s v="Működési költségvetés támogatása - Céltámogatás"/>
    <n v="0"/>
    <n v="0"/>
    <n v="0"/>
    <n v="0"/>
  </r>
  <r>
    <m/>
    <s v="ÁKTH alapja"/>
    <s v="I."/>
    <s v="B.I."/>
    <s v="ÁKTH alapja"/>
    <m/>
    <m/>
    <m/>
    <n v="402526458"/>
    <n v="402526457.93341732"/>
    <n v="6.6582703497260809E-2"/>
    <n v="402526457.93341732"/>
  </r>
  <r>
    <n v="10"/>
    <s v="Szombathelyi működésre ÁKTH elvonás 19 %"/>
    <s v="B"/>
    <s v="B8. "/>
    <s v="Szombathelyi működésre ÁKTH elvonás 19 %"/>
    <s v="B2A"/>
    <m/>
    <s v="ÖSSZEGZŐ SOR"/>
    <n v="-76480027.019999996"/>
    <n v="-76480027.007349283"/>
    <n v="-1.2650713324546814E-2"/>
    <n v="-76480027.007349283"/>
  </r>
  <r>
    <m/>
    <m/>
    <m/>
    <m/>
    <s v="Szombathelyi működésre ÁKTH elvonás 19 %"/>
    <s v="B"/>
    <n v="285"/>
    <s v="SB ÁKTH ÁTADÁS"/>
    <n v="-10623768.300000001"/>
    <n v="-10623768.203174584"/>
    <n v="-9.6825417131185532E-2"/>
    <n v="-10623768.203174584"/>
  </r>
  <r>
    <m/>
    <m/>
    <m/>
    <m/>
    <s v="Szombathelyi működésre ÁKTH elvonás 19 %"/>
    <s v="B"/>
    <n v="332"/>
    <s v="T ÁKTH ÁTADÁS"/>
    <n v="-65856258.719999999"/>
    <n v="-65856258.804174706"/>
    <n v="8.4174707531929016E-2"/>
    <n v="-65856258.804174706"/>
  </r>
  <r>
    <n v="11"/>
    <s v="Egyetemi kiválósági alap (digitális transzformációra) elvonás -0,5%"/>
    <s v="B"/>
    <s v="B9. "/>
    <s v="Egyetemi kiválósági alap (digitális transzformációra) elvonás -0,5%"/>
    <s v="B2A"/>
    <m/>
    <s v="ÖSSZEGZŐ SOR"/>
    <n v="-2012632.29"/>
    <n v="-2012632.2896670867"/>
    <n v="-3.329133614897728E-4"/>
    <n v="3.329133614897728E-4"/>
  </r>
  <r>
    <m/>
    <m/>
    <m/>
    <m/>
    <s v="Egyetemi kiválósági alap (digitális transzformációra) elvonás -0,5%, saját bevétel"/>
    <s v="B"/>
    <n v="298"/>
    <s v="SB Kiválósági Alap"/>
    <n v="-279572.84999999998"/>
    <n v="-279572.84745196276"/>
    <n v="-2.5480372132733464E-3"/>
    <n v="-14069.096499999985"/>
  </r>
  <r>
    <m/>
    <m/>
    <m/>
    <m/>
    <s v="Egyetemi kiválósági alap (digitális transzformációra) elvonás -0,5%, támogatás"/>
    <s v="B"/>
    <n v="342"/>
    <s v="T Kiválósági Alap"/>
    <n v="-1733059.44"/>
    <n v="-1733059.4422151239"/>
    <n v="2.2151239681988955E-3"/>
    <n v="-2.2151239681988955E-3"/>
  </r>
  <r>
    <n v="12"/>
    <s v="Kari kiválósági -1,5 %"/>
    <s v="B"/>
    <s v="B10. "/>
    <s v="Kari kiválósági -1,5 %"/>
    <s v="B2A"/>
    <m/>
    <s v="ÖSSZEGZŐ SOR"/>
    <n v="-6037896.8700000001"/>
    <n v="9.9874008446931839E-4"/>
    <n v="-6037896.8709987402"/>
    <n v="9.9874008446931839E-4"/>
  </r>
  <r>
    <m/>
    <m/>
    <m/>
    <m/>
    <s v="Kari kiválósági -1,5 %, saját bevétel"/>
    <s v="B"/>
    <n v="297"/>
    <s v="SB Kari kiválósági keret"/>
    <n v="-838718.54999999993"/>
    <n v="7.6441118726506829E-3"/>
    <n v="-838718.5576441118"/>
    <n v="7.6441118726506829E-3"/>
  </r>
  <r>
    <m/>
    <m/>
    <m/>
    <m/>
    <s v="Kari kiválósági -1,5 %, támogatás"/>
    <s v="B"/>
    <n v="341"/>
    <s v="T Kari kiválósági keret"/>
    <n v="-5199178.32"/>
    <n v="-6.6453712061047554E-3"/>
    <n v="-5199178.3133546291"/>
    <n v="-6.6453712061047554E-3"/>
  </r>
  <r>
    <n v="13"/>
    <s v="Karnál kiválósági visszahagyás +1,5 %"/>
    <s v="B"/>
    <s v="B11. "/>
    <s v="Karnál kiválósági visszahagyás +1,5 %"/>
    <s v="B2A"/>
    <n v="1"/>
    <s v="NEM TERVEZENDŐ"/>
    <n v="6037896.8700000001"/>
    <n v="0"/>
    <n v="6037896.8700000001"/>
    <n v="0"/>
  </r>
  <r>
    <n v="14"/>
    <s v="Belső átrendezés TKK-ra OTAK-RTAK elméleti kreditre jutó bevétel arányában"/>
    <s v="B"/>
    <s v="B12. "/>
    <s v="Belső átrendezés TKK-ra OTAK-RTAK elméleti kreditre jutó bevétel arányában"/>
    <s v="B2A"/>
    <n v="346"/>
    <s v="T tanárképzés közös ktg"/>
    <n v="-14167162.406577878"/>
    <n v="-14167162.406577878"/>
    <n v="0"/>
    <n v="0"/>
  </r>
  <r>
    <n v="15"/>
    <s v="Kiválósági ösztöndíjhoz hozzájárulás (-6,1mFt maradvány, 2020/21 II. és 2021/22 I. félév tanév becsült adatai alapján"/>
    <s v="B"/>
    <s v="B13."/>
    <s v="Kiválósági ösztöndíjhoz hozzájárulás (-6,1mFt maradvány, 2020/21 II. és 2021/22 I. félév tanév becsült adatai alapján"/>
    <s v="B2A"/>
    <n v="344"/>
    <s v="T Belső működésre átadás"/>
    <n v="-24408712.8712871"/>
    <n v="-24408712.8712871"/>
    <n v="0"/>
    <n v="0"/>
  </r>
  <r>
    <n v="17"/>
    <s v="Szocho elvonás"/>
    <s v="B"/>
    <s v="B15. "/>
    <s v="Szocho elvonás"/>
    <s v="B2A"/>
    <n v="335"/>
    <s v="T SZOCHO megtakarítás"/>
    <n v="-14953560"/>
    <n v="-14953560"/>
    <n v="0"/>
    <n v="0"/>
  </r>
  <r>
    <s v="18. a)"/>
    <s v="Kötelezően tervezendő folyóirat (2021. évi finanszírozási költségek)"/>
    <s v="B"/>
    <s v="B16. "/>
    <s v="Kötelezően tervezendő folyóirat (2021. évi finanszírozási költségek)"/>
    <s v="B2A"/>
    <m/>
    <s v="ÖSSZEGZŐ SOR"/>
    <n v="0"/>
    <n v="0"/>
    <n v="0"/>
    <n v="0"/>
  </r>
  <r>
    <m/>
    <m/>
    <m/>
    <m/>
    <s v="Belföldi folyóirat"/>
    <m/>
    <m/>
    <s v="ÖSSZEGZŐ SOR"/>
    <n v="0"/>
    <n v="0"/>
    <n v="0"/>
    <n v="0"/>
  </r>
  <r>
    <m/>
    <m/>
    <m/>
    <m/>
    <s v="Bevételátadás folyóiratra"/>
    <s v="B"/>
    <n v="293"/>
    <s v="SB Folyóiratok finanszírozása"/>
    <n v="0"/>
    <n v="0"/>
    <n v="0"/>
    <n v="0"/>
  </r>
  <r>
    <m/>
    <m/>
    <m/>
    <m/>
    <s v="Bevételátadás folyóiratra"/>
    <s v="B"/>
    <n v="340"/>
    <s v="T Folyóiratok finanszírozása"/>
    <n v="0"/>
    <n v="0"/>
    <n v="0"/>
    <n v="0"/>
  </r>
  <r>
    <m/>
    <m/>
    <m/>
    <m/>
    <s v="Külföldi folyóirat"/>
    <m/>
    <m/>
    <s v="ÖSSZEGZŐ SOR"/>
    <n v="0"/>
    <n v="0"/>
    <n v="0"/>
    <n v="0"/>
  </r>
  <r>
    <m/>
    <m/>
    <m/>
    <m/>
    <s v="Bevételátadás folyóiratra"/>
    <s v="B"/>
    <n v="293"/>
    <s v="SB Folyóiratok finanszírozása"/>
    <n v="0"/>
    <n v="0"/>
    <n v="0"/>
    <n v="0"/>
  </r>
  <r>
    <m/>
    <m/>
    <m/>
    <m/>
    <s v="Bevételátadás folyóiratra"/>
    <s v="B"/>
    <n v="340"/>
    <s v="T Folyóiratok finanszírozása"/>
    <n v="0"/>
    <n v="0"/>
    <n v="0"/>
    <n v="0"/>
  </r>
  <r>
    <s v="18. b)"/>
    <s v="Kötelezően tervezendő  EISZ kari rész 2021."/>
    <s v="B"/>
    <s v="B17. "/>
    <s v="Kötelezően tervezendő  EISZ kari rész 2021."/>
    <s v="B2A"/>
    <m/>
    <s v="ÖSSZEGZŐ SOR"/>
    <n v="0"/>
    <n v="0"/>
    <n v="0"/>
    <n v="0"/>
  </r>
  <r>
    <m/>
    <m/>
    <m/>
    <m/>
    <s v="Bevételátadás EISZ kari rész, saját bevétel"/>
    <s v="B"/>
    <n v="293"/>
    <s v="SB Folyóiratok finanszírozása"/>
    <n v="0"/>
    <n v="0"/>
    <n v="0"/>
    <n v="0"/>
  </r>
  <r>
    <m/>
    <m/>
    <m/>
    <m/>
    <s v="Bevételátadás EISZ kari rész, támogatás"/>
    <s v="B"/>
    <n v="340"/>
    <s v="T Folyóiratok finanszírozása"/>
    <n v="0"/>
    <n v="0"/>
    <n v="0"/>
    <n v="0"/>
  </r>
  <r>
    <s v="18. c)"/>
    <s v="Tárgyévi közterületesítés miatti átrendezés"/>
    <s v="B"/>
    <s v="B18. "/>
    <s v="Tárgyévi közterületesítés miatti átrendezés"/>
    <s v="B2A"/>
    <m/>
    <s v="ÖSSZEGZŐ SOR"/>
    <n v="6694998"/>
    <n v="6694998"/>
    <n v="0"/>
    <n v="0"/>
  </r>
  <r>
    <m/>
    <m/>
    <m/>
    <m/>
    <s v="Tárgyévi közterületesítés miatti átrendezés, saját bevétel"/>
    <s v="B"/>
    <n v="290"/>
    <s v="SB Közterületesítési különbözet"/>
    <n v="3347499"/>
    <n v="3347499"/>
    <n v="0"/>
    <n v="0"/>
  </r>
  <r>
    <m/>
    <m/>
    <m/>
    <m/>
    <s v="Tárgyévi közterületesítés miatti átrendezés, támogatás"/>
    <s v="B"/>
    <n v="336"/>
    <s v="T Közterületesítési különbözet"/>
    <n v="3347499"/>
    <n v="3347499"/>
    <n v="0"/>
    <n v="0"/>
  </r>
  <r>
    <m/>
    <m/>
    <m/>
    <m/>
    <s v="Bevételátadás informatikai kiadásokra, összesen"/>
    <m/>
    <m/>
    <s v="ÖSSZEGZŐ SOR"/>
    <n v="0"/>
    <n v="0"/>
    <n v="0"/>
    <n v="0"/>
  </r>
  <r>
    <m/>
    <m/>
    <m/>
    <m/>
    <s v="Bevételátadás informatikai kiadásokra, saját bevétel"/>
    <s v="B"/>
    <n v="291"/>
    <s v="SB Informatikai közvetlen költségek"/>
    <n v="0"/>
    <n v="0"/>
    <n v="0"/>
    <n v="0"/>
  </r>
  <r>
    <m/>
    <m/>
    <m/>
    <m/>
    <s v="Bevételátadás informatikai kiadásokra, támogatás"/>
    <s v="B"/>
    <n v="337"/>
    <s v="T Informatikai közvetlen költségek"/>
    <n v="0"/>
    <n v="0"/>
    <n v="0"/>
    <n v="0"/>
  </r>
  <r>
    <m/>
    <m/>
    <m/>
    <m/>
    <s v="Bevételátadás informatikai kiadásokra - visszahagyás"/>
    <s v="B"/>
    <m/>
    <s v="NEM TERVEZENDŐ"/>
    <n v="0"/>
    <m/>
    <n v="0"/>
    <m/>
  </r>
  <r>
    <m/>
    <m/>
    <m/>
    <m/>
    <s v="Bevételátadás üzemeltetési kiadásokra, összesen"/>
    <m/>
    <m/>
    <s v="ÖSSZEGZŐ SOR"/>
    <n v="-77441011.623756886"/>
    <n v="0"/>
    <n v="-77441011.623756886"/>
    <n v="0"/>
  </r>
  <r>
    <m/>
    <m/>
    <m/>
    <m/>
    <s v="Bevételátadás üzemeltetési kiadásokra, saját bevétel"/>
    <s v="B"/>
    <n v="288"/>
    <s v="SB Üzemeltetési feladatok"/>
    <n v="-38720505.811878443"/>
    <n v="0"/>
    <n v="-38720505.811878443"/>
    <n v="0"/>
  </r>
  <r>
    <m/>
    <m/>
    <m/>
    <m/>
    <s v="Bevételátadás üzemeltetési kiadásokra, támogatás"/>
    <s v="B"/>
    <n v="350"/>
    <s v="T Üzemeltetési feladatok"/>
    <n v="-38720505.811878443"/>
    <n v="0"/>
    <n v="-38720505.811878443"/>
    <n v="0"/>
  </r>
  <r>
    <m/>
    <m/>
    <m/>
    <m/>
    <s v="Bevételátadás üzemeltetési kiadásokra - visszahagyás"/>
    <s v="B"/>
    <m/>
    <s v="NEM TERVEZENDŐ"/>
    <n v="77441011.623756886"/>
    <m/>
    <n v="77441011.623756886"/>
    <m/>
  </r>
  <r>
    <n v="19"/>
    <s v="Nemzeköziesítésre elvonás"/>
    <s v="B"/>
    <s v="B19. "/>
    <s v="Nemzeköziesítésre elvonás"/>
    <s v="B2A"/>
    <n v="292"/>
    <s v="SB Nemzetköziesítési feladatok"/>
    <n v="0"/>
    <n v="0"/>
    <n v="0"/>
    <n v="0"/>
  </r>
  <r>
    <m/>
    <s v="Bevételi egyenleg I. (itt lévő előirányzatok)"/>
    <s v="II."/>
    <s v="B.II."/>
    <s v="Bevételi egyenleg I. (itt lévő előirányzatok)"/>
    <m/>
    <m/>
    <m/>
    <n v="277199361.412135"/>
    <n v="277199361.35953474"/>
    <n v="5.260033905506134E-2"/>
    <n v="326046430.92739969"/>
  </r>
  <r>
    <n v="21"/>
    <s v="Maradvány"/>
    <s v="B"/>
    <s v="B20. "/>
    <s v="2020. év végi maradvány (kari gazda) szabad keret (S*ITTNEMEI, *PALYREZSI, kari kiválósági, függő bevétel kizárásával)"/>
    <s v="MB"/>
    <m/>
    <s v="Maradvány"/>
    <n v="52976172"/>
    <n v="-9535804"/>
    <n v="62511976"/>
    <n v="-9535804"/>
  </r>
  <r>
    <n v="22"/>
    <s v="Maradvány"/>
    <s v="B"/>
    <s v="B20. "/>
    <s v="2020. év végi maradvány (kari gazda) átfordult kötelezettségvállalás"/>
    <s v="MB"/>
    <m/>
    <s v="Maradvány"/>
    <n v="-30874071"/>
    <n v="0"/>
    <n v="-30874071"/>
    <n v="0"/>
  </r>
  <r>
    <n v="23"/>
    <s v="Maradvány"/>
    <s v="B"/>
    <s v="B20. "/>
    <s v="Kari kiválósági keretek 2020. év végi költhető maradványa **"/>
    <s v="MB"/>
    <m/>
    <s v="Maradvány"/>
    <n v="10497387"/>
    <n v="0"/>
    <n v="10497387"/>
    <n v="0"/>
  </r>
  <r>
    <n v="24"/>
    <s v="Maradvány"/>
    <s v="B"/>
    <s v="B20. "/>
    <s v="Közterületesítés elszámolás"/>
    <s v="MB"/>
    <m/>
    <s v="Maradvány"/>
    <n v="7695747"/>
    <n v="7695747"/>
    <n v="0"/>
    <n v="7695747"/>
  </r>
  <r>
    <n v="25"/>
    <s v="Maradvány"/>
    <s v="B"/>
    <s v="B20. "/>
    <s v="Lektorok elszámolás (év végi ZFED szabad keret funkcióterületre)"/>
    <s v="MB"/>
    <m/>
    <s v="Maradvány"/>
    <n v="0"/>
    <n v="0"/>
    <n v="0"/>
    <n v="0"/>
  </r>
  <r>
    <n v="26"/>
    <s v="Maradvány"/>
    <s v="B"/>
    <s v="B20. "/>
    <s v="PALYREZSI elszámolás"/>
    <s v="MB"/>
    <m/>
    <s v="Maradvány"/>
    <n v="0"/>
    <n v="0"/>
    <n v="0"/>
    <n v="0"/>
  </r>
  <r>
    <n v="27"/>
    <s v="Maradvány"/>
    <s v="B"/>
    <s v="B20. "/>
    <s v="Belföldi-külföldi folyóirat elszámolás (SAP 2020 év végi állapot)"/>
    <s v="MB"/>
    <m/>
    <s v="Maradvány"/>
    <n v="0"/>
    <n v="0"/>
    <n v="0"/>
    <n v="0"/>
  </r>
  <r>
    <n v="28"/>
    <s v="Maradvány"/>
    <s v="B"/>
    <s v="B20. "/>
    <s v="Nemzetköziesítés el nem költött előirányzatával elszámolás (2020. évi befizetés arányában)"/>
    <s v="MB"/>
    <m/>
    <s v="Maradvány"/>
    <n v="0"/>
    <n v="0"/>
    <n v="0"/>
    <n v="0"/>
  </r>
  <r>
    <n v="30"/>
    <s v="Maradvány"/>
    <s v="B"/>
    <s v="B20. "/>
    <s v="2020. évi TMA elszámolás"/>
    <s v="MB"/>
    <m/>
    <s v="Maradvány"/>
    <n v="0"/>
    <n v="0"/>
    <n v="0"/>
    <n v="0"/>
  </r>
  <r>
    <n v="31"/>
    <s v="Maradvány"/>
    <s v="B"/>
    <s v="B20. "/>
    <s v="2020. évi telefon költség elszámolás "/>
    <s v="MB"/>
    <m/>
    <s v="Maradvány"/>
    <n v="-51421"/>
    <n v="0"/>
    <n v="-51421"/>
    <n v="0"/>
  </r>
  <r>
    <n v="32"/>
    <s v="Maradvány"/>
    <s v="B"/>
    <s v="B20. "/>
    <s v="2020. évi telefon kötváll felszabadítás"/>
    <s v="MB"/>
    <m/>
    <s v="Maradvány"/>
    <n v="0"/>
    <n v="0"/>
    <n v="0"/>
    <n v="0"/>
  </r>
  <r>
    <m/>
    <s v="Bevételi egyenleg II. (Bevételi egyenleg I. + maradvány és korrekciói)"/>
    <s v="III."/>
    <s v="B.III."/>
    <s v="Bevételi egyenleg II. (Bevételi egyenleg I. + maradvány és korrekciói)"/>
    <m/>
    <m/>
    <m/>
    <n v="317443175.412135"/>
    <n v="275359304.35953474"/>
    <n v="42083871.052600339"/>
    <n v="324206373.92739969"/>
  </r>
  <r>
    <n v="34"/>
    <s v="2020. évi képzési támogatás elszámolás - bruttó - minisztérium által  visszaigazolt összeg 2020.11.30-i &quot;bérelő&quot; arányban"/>
    <s v="B"/>
    <s v="B20. "/>
    <s v="2020. évi képzési támogatás elszámolás - bruttó - minisztérium által  visszaigazolt összeg 2020.11.30-i &quot;bérelő&quot; arányban"/>
    <s v="B2A"/>
    <n v="333"/>
    <s v="T Képzési finanszírozás átadás"/>
    <n v="15021592.561523914"/>
    <n v="13519433.305371523"/>
    <n v="1502159.2561523914"/>
    <n v="13519433.305371523"/>
  </r>
  <r>
    <n v="36"/>
    <s v="Maradvány"/>
    <s v="B"/>
    <s v="B21. "/>
    <s v="2019-2020. évi Stipendium Hungaricum szervezési keret elszámolás - bruttó - tervezett összeg (előzetes)"/>
    <s v="MB"/>
    <m/>
    <s v="MARADVÁNY"/>
    <n v="0"/>
    <n v="0"/>
    <n v="0"/>
    <n v="0"/>
  </r>
  <r>
    <n v="37"/>
    <s v="Év közben emelkedő normatíva emelés - 2021. őszén felvételre kerülő hallgatók becslése (korábbi évek hatásának 66%-a)"/>
    <s v="B"/>
    <s v="B22. "/>
    <s v="Év közben emelkedő normatíva emelés - 2021. őszén felvételre kerülő hallgatók becslése (korábbi évek hatásának 66%-a)"/>
    <s v="B2A"/>
    <n v="320"/>
    <s v="Működési költségvetés támogatása - Képzés"/>
    <n v="768000"/>
    <n v="691200"/>
    <n v="76800"/>
    <n v="691200"/>
  </r>
  <r>
    <n v="38"/>
    <s v="GTI felfutás hatás - 2021. tavaszán és őszén felvételre kerülő hallgatók becslésének 80%-a"/>
    <s v="B"/>
    <s v="B23. "/>
    <s v="GTI felfutás hatás - 2021. tavaszán és őszén felvételre kerülő hallgatók becslésének 80%-a"/>
    <s v="B2A"/>
    <n v="320"/>
    <s v="Működési költségvetés támogatása - Képzés"/>
    <n v="0"/>
    <n v="0"/>
    <n v="0"/>
    <n v="0"/>
  </r>
  <r>
    <n v="39"/>
    <s v="Stipendium Hungaricum költségtérítés célszervezetre (átoktatás után) - 2020 évi tény 85%-a"/>
    <s v="B"/>
    <m/>
    <s v="Stipendium Hungaricum költségtérítés célszervezetre (átoktatás után) - 2020 évi tény 85%-a"/>
    <s v="B2A"/>
    <m/>
    <s v="ÖSSZEGZŐ SOR"/>
    <n v="0"/>
    <n v="0"/>
    <n v="0"/>
    <n v="0"/>
  </r>
  <r>
    <m/>
    <s v="Stipendium Hungaricum képzési támogatás"/>
    <s v="B"/>
    <s v="B24.a. "/>
    <s v="Stipendium Hungaricum képzési támogatás átvétele stipendium munkaszámról / tervezése képzési munkaszámokra"/>
    <s v="BKÉ"/>
    <n v="327"/>
    <s v="Működési költségvetés támogatása - Stipendium"/>
    <n v="0"/>
    <n v="0"/>
    <n v="0"/>
    <n v="0"/>
  </r>
  <r>
    <m/>
    <s v="Átoktatás átadás, Stipendium Hungaricum"/>
    <s v="B"/>
    <s v="B24.a. "/>
    <s v="Átoktatás átadás, Stipendium Hungaricum"/>
    <s v="BKÉ"/>
    <n v="343"/>
    <s v="T Átoktatásra támogatás ÁTADÁS"/>
    <n v="0"/>
    <n v="0"/>
    <n v="0"/>
    <n v="0"/>
  </r>
  <r>
    <m/>
    <s v="Átoktatással csökkentett Stipendium Hungaricum képzési támogatás"/>
    <s v="B"/>
    <m/>
    <s v="Átoktatással csökkentett Stipendium Hungaricum képzési támogatás áthozatala képzési munkaszámokról intézetekre / tanszékekre, általános munkaszámra, hivatalokra"/>
    <s v="B"/>
    <n v="333"/>
    <s v="T Képzési finanszírozás átadás"/>
    <n v="0"/>
    <n v="0"/>
    <n v="0"/>
    <n v="0"/>
  </r>
  <r>
    <m/>
    <s v="Átoktatással csökkentett Stipendium Hungaricum képzési támogatás"/>
    <s v="B"/>
    <m/>
    <s v="Stipendium Hungaricum képzési támogatás felosztása általános munkaszámról intézetekre / tanszékekre"/>
    <s v="B"/>
    <n v="333"/>
    <s v="T Képzési finanszírozás átadás"/>
    <n v="0"/>
    <n v="0"/>
    <n v="0"/>
    <n v="0"/>
  </r>
  <r>
    <m/>
    <s v="Átoktatással csökkentett Stipendium Hungaricum képzési támogatás"/>
    <s v="B"/>
    <m/>
    <s v="Stipendium Hungaricum képzési támogatás felosztása általános munkaszámról intézetekre / tanszékekre"/>
    <s v="B"/>
    <n v="333"/>
    <s v="T Képzési finanszírozás átadás"/>
    <n v="0"/>
    <n v="0"/>
    <n v="0"/>
    <n v="0"/>
  </r>
  <r>
    <m/>
    <s v="Átoktatással csökkentett Stipendium Hungaricum képzési támogatás"/>
    <s v="B"/>
    <m/>
    <s v="Stipendium Hungaricum képzési támogatás felosztása általános munkaszámról intézetekre / tanszékekre"/>
    <s v="B"/>
    <n v="333"/>
    <s v="T Képzési finanszírozás átadás"/>
    <n v="0"/>
    <n v="0"/>
    <n v="0"/>
    <n v="0"/>
  </r>
  <r>
    <m/>
    <s v="Átoktatással csökkentett Stipendium Hungaricum képzési támogatás"/>
    <s v="B"/>
    <m/>
    <s v="Stipendium Hungaricum képzési támogatás felosztása általános munkaszámról intézetekre / tanszékekre"/>
    <s v="B"/>
    <n v="333"/>
    <s v="T Képzési finanszírozás átadás"/>
    <n v="0"/>
    <n v="0"/>
    <n v="0"/>
    <n v="0"/>
  </r>
  <r>
    <m/>
    <s v="Átoktatással csökkentett Stipendium Hungaricum képzési támogatás"/>
    <s v="B"/>
    <m/>
    <s v="Stipendium Hungaricum képzési támogatás felosztása hivatalokról intézetekre / tanszékekre"/>
    <s v="B"/>
    <n v="333"/>
    <s v="T Képzési finanszírozás átadás"/>
    <n v="0"/>
    <n v="0"/>
    <n v="0"/>
    <n v="0"/>
  </r>
  <r>
    <m/>
    <s v="Átoktatás átvétel, Stipendium Hungaricum"/>
    <s v="B"/>
    <s v="B24.b. "/>
    <s v="Átoktatás átvétel, Stipendium Hungaricum"/>
    <s v="B"/>
    <n v="349"/>
    <s v="T Átoktatásra támogatás ÁTVÉTEL"/>
    <n v="0"/>
    <n v="0"/>
    <n v="0"/>
    <n v="0"/>
  </r>
  <r>
    <m/>
    <s v="Átoktatás átvétel, Stipendium Hungaricum"/>
    <s v="B"/>
    <s v="B24.b. "/>
    <s v="Átoktatás átvétel, Stipendium Hungaricum támogatás felosztása általános munkaszámról intézetekre / tanszékekre"/>
    <s v="B"/>
    <n v="349"/>
    <s v="T Átoktatásra támogatás ÁTVÉTEL"/>
    <n v="0"/>
    <n v="0"/>
    <n v="0"/>
    <n v="0"/>
  </r>
  <r>
    <m/>
    <s v="Átoktatás átvétel, Stipendium Hungaricum"/>
    <s v="B"/>
    <s v="B24.b. "/>
    <s v="Átoktatás átvétel, Stipendium Hungaricum támogatás felosztása hivatalokról intézetekre / tanszékekre"/>
    <s v="B"/>
    <n v="349"/>
    <s v="T Átoktatásra támogatás ÁTVÉTEL"/>
    <n v="0"/>
    <n v="0"/>
    <n v="0"/>
    <n v="0"/>
  </r>
  <r>
    <n v="40"/>
    <s v="Stipendium Hungaricum szervezési keret - 2020 évi tény 85%-a"/>
    <s v="B"/>
    <s v="B25. "/>
    <s v="Stipendium Hungaricum szervezési keret - 2020. évi tény 85%-a"/>
    <s v="B2A"/>
    <n v="327"/>
    <s v="Működési költségvetés támogatása - Stipendium"/>
    <n v="0"/>
    <n v="0"/>
    <n v="0"/>
    <n v="0"/>
  </r>
  <r>
    <n v="41"/>
    <s v="Szombathelyi működésre ÁKTH elvonás nem ittlévő bevételekből -19 %"/>
    <s v="B"/>
    <s v="B26. "/>
    <s v="Szombathelyi működésre ÁKTH elvonás nem ittlévő bevételekből -19 %"/>
    <m/>
    <m/>
    <s v="ÖSSZEGZŐ SOR"/>
    <n v="-3000022.5866895439"/>
    <n v="-2700020.3280205894"/>
    <n v="-300002.25866895448"/>
    <n v="300002.25866895448"/>
  </r>
  <r>
    <s v="41. a)"/>
    <m/>
    <m/>
    <m/>
    <s v="Szombathelyi működésre ÁKTH elvonás nem ittlévő bevételekből -19 %, idei forrás"/>
    <s v="B2A"/>
    <n v="332"/>
    <s v="T ÁKTH ÁTADÁS"/>
    <n v="-3000022.5866895439"/>
    <n v="-2700020.3280205894"/>
    <n v="-300002.25866895448"/>
    <n v="300002.25866895448"/>
  </r>
  <r>
    <s v="41. b)"/>
    <m/>
    <m/>
    <m/>
    <s v="Szombathelyi működésre ÁKTH elvonás &quot;nem ittlévő&quot; bevételekből -19 %, maradvány"/>
    <s v="MB"/>
    <m/>
    <s v="MARADVÁNY"/>
    <n v="0"/>
    <n v="0"/>
    <n v="0"/>
    <n v="0"/>
  </r>
  <r>
    <n v="42"/>
    <s v="Egyetemi kiválósági alap (digitális transzformációra) elvonás nem ittlévő bevételekből -0,5%"/>
    <s v="B"/>
    <s v="B27. "/>
    <s v="Egyetemi kiválósági alap (digitális transzformációra) elvonás nem ittlévő bevételekből -0,5%"/>
    <m/>
    <m/>
    <s v="ÖSSZEGZŐ SOR"/>
    <n v="-78947.96280761958"/>
    <n v="-71053.166526857618"/>
    <n v="-7894.7962807619624"/>
    <n v="7894.7962807619624"/>
  </r>
  <r>
    <s v="42. a)"/>
    <m/>
    <m/>
    <m/>
    <s v="Egyetemi kiválósági alap (digitális transzformációra) elvonás nem ittlévő bevételekből -0,5%, idei forrás"/>
    <s v="B2A"/>
    <n v="342"/>
    <s v="T Kiválósági Alap"/>
    <n v="-78947.96280761958"/>
    <n v="-71053.166526857618"/>
    <n v="-7894.7962807619624"/>
    <n v="7894.7962807619624"/>
  </r>
  <r>
    <s v="42. b)"/>
    <m/>
    <m/>
    <m/>
    <s v="Egyetemi kiválósági alap (digitális transzformációra) elvonás &quot;nem ittlévő&quot; bevételekből -0,5%, maradvány"/>
    <s v="MB"/>
    <m/>
    <s v="MARADVÁNY"/>
    <n v="0"/>
    <n v="0"/>
    <n v="0"/>
    <n v="0"/>
  </r>
  <r>
    <n v="43"/>
    <s v="Kari kiválósági elvonás még nem ittlévő bevételekből -1,5 %"/>
    <s v="B"/>
    <s v="B28. "/>
    <s v="Kari kiválósági elvonás nem ittlévő bevételekből -1,5 %"/>
    <m/>
    <m/>
    <s v="ÖSSZEGZŐ SOR"/>
    <n v="-236843.8884228587"/>
    <n v="23684.388842285873"/>
    <n v="-260528.27726514457"/>
    <n v="23684.388842285873"/>
  </r>
  <r>
    <s v="43. a)"/>
    <m/>
    <m/>
    <m/>
    <s v="Kari kiválósági elvonás még nem ittlévő bevételekből -1,5 %, idei forrás"/>
    <s v="B2A"/>
    <n v="341"/>
    <s v="T Kari kiválósági keret"/>
    <n v="-236843.8884228587"/>
    <n v="23684.388842285873"/>
    <n v="-260528.27726514457"/>
    <n v="23684.388842285873"/>
  </r>
  <r>
    <s v="43. b)"/>
    <m/>
    <m/>
    <m/>
    <s v="Kari kiválósági elvonás még &quot;nem ittlévő&quot; bevételekből -1,5 %, maradvány"/>
    <s v="MB"/>
    <m/>
    <s v="MARADVÁNY"/>
    <n v="0"/>
    <n v="0"/>
    <n v="0"/>
    <n v="0"/>
  </r>
  <r>
    <n v="44"/>
    <s v="Karnál kiválósági visszahagyás +1,5 %"/>
    <s v="B"/>
    <s v="B29. "/>
    <s v="Karnál kiválósági visszahagyás nem ittlévő bevételekből +1,5 %"/>
    <m/>
    <m/>
    <s v="NEM TERVEZENDŐ"/>
    <n v="236843.8884228587"/>
    <n v="0"/>
    <n v="236843.8884228587"/>
    <n v="0"/>
  </r>
  <r>
    <s v="44. a)"/>
    <m/>
    <m/>
    <m/>
    <s v="Karnál kiválósági visszahagyás még nem ittlévő bevételekből +1,5 %, idei forrás"/>
    <s v="B2A"/>
    <n v="1"/>
    <s v="NEM TERVEZENDŐ"/>
    <n v="236843.8884228587"/>
    <n v="0"/>
    <n v="236843.8884228587"/>
    <n v="0"/>
  </r>
  <r>
    <s v="44. b)"/>
    <m/>
    <m/>
    <m/>
    <s v="Karnál kiválósági visszahagyás még &quot;nem ittlévő&quot; bevételekből +1,5 %, maradvány"/>
    <s v="MB"/>
    <m/>
    <s v="MARADVÁNY"/>
    <n v="0"/>
    <n v="0"/>
    <n v="0"/>
    <n v="0"/>
  </r>
  <r>
    <m/>
    <s v="Bevétel egyenleg III. (Bevétel egyenleg II. + nem ittlévő bevételek)"/>
    <s v="IV."/>
    <s v="B.IV."/>
    <s v="Bevétel egyenleg III. (Bevétel egyenleg II. + nem ittlévő bevételek)"/>
    <m/>
    <m/>
    <m/>
    <n v="330153797.42416179"/>
    <n v="286822548.55920112"/>
    <n v="43331248.86496073"/>
    <n v="338748588.6765632"/>
  </r>
  <r>
    <n v="50"/>
    <s v="Finanszírozás helyi ÁKTH-ból"/>
    <s v="B"/>
    <s v="B31."/>
    <s v="Finanszírozás helyi ÁKTH-ból"/>
    <s v="B"/>
    <m/>
    <m/>
    <n v="0"/>
    <m/>
    <m/>
    <m/>
  </r>
  <r>
    <m/>
    <m/>
    <m/>
    <m/>
    <m/>
    <m/>
    <n v="339"/>
    <s v="T ÁKTH ÁTVÉTEL"/>
    <m/>
    <m/>
    <m/>
    <m/>
  </r>
  <r>
    <m/>
    <m/>
    <m/>
    <m/>
    <m/>
    <m/>
    <n v="295"/>
    <s v="SB ÁKTH ÁTVÉTEL"/>
    <m/>
    <m/>
    <m/>
    <m/>
  </r>
  <r>
    <m/>
    <s v="Bevételátadás belső működésre"/>
    <s v="B"/>
    <s v="B32."/>
    <s v="Bevételátadás belső működésre"/>
    <m/>
    <m/>
    <s v="ÖSSZEGZŐ SOR"/>
    <n v="0"/>
    <n v="0"/>
    <n v="0"/>
    <n v="0"/>
  </r>
  <r>
    <m/>
    <m/>
    <m/>
    <m/>
    <s v="Bevételátadás belső működésre, maradvány"/>
    <m/>
    <m/>
    <s v="MARADVÁNY ÖSSZEGZŐ SOR"/>
    <n v="0"/>
    <n v="0"/>
    <n v="0"/>
    <n v="0"/>
  </r>
  <r>
    <m/>
    <m/>
    <m/>
    <m/>
    <s v="Belső működési átadás xy1"/>
    <s v="MB"/>
    <m/>
    <s v="kitöltés esetén át kell adni bizonylattal"/>
    <n v="0"/>
    <n v="0"/>
    <n v="0"/>
    <n v="0"/>
  </r>
  <r>
    <m/>
    <m/>
    <m/>
    <m/>
    <s v="Belső működési átadás xy2"/>
    <s v="MB"/>
    <m/>
    <s v="kitöltés esetén át kell adni bizonylattal"/>
    <n v="0"/>
    <n v="0"/>
    <n v="0"/>
    <n v="0"/>
  </r>
  <r>
    <m/>
    <m/>
    <m/>
    <m/>
    <s v="Belső működési átadás xy3"/>
    <s v="MB"/>
    <m/>
    <s v="kitöltés esetén át kell adni bizonylattal"/>
    <n v="0"/>
    <n v="0"/>
    <n v="0"/>
    <n v="0"/>
  </r>
  <r>
    <m/>
    <m/>
    <m/>
    <m/>
    <s v="Belső működési átadás xy4"/>
    <s v="MB"/>
    <m/>
    <s v="kitöltés esetén át kell adni bizonylattal"/>
    <n v="0"/>
    <n v="0"/>
    <n v="0"/>
    <n v="0"/>
  </r>
  <r>
    <m/>
    <m/>
    <m/>
    <m/>
    <s v="Belső működési átadás xy5"/>
    <s v="MB"/>
    <m/>
    <s v="kitöltés esetén át kell adni bizonylattal"/>
    <n v="0"/>
    <n v="0"/>
    <n v="0"/>
    <n v="0"/>
  </r>
  <r>
    <m/>
    <m/>
    <m/>
    <m/>
    <s v="Bevételátadás belső működésre, idei forrás"/>
    <m/>
    <m/>
    <s v="ÖSSZEGZŐ SOR"/>
    <n v="0"/>
    <n v="0"/>
    <n v="0"/>
    <n v="0"/>
  </r>
  <r>
    <m/>
    <m/>
    <m/>
    <m/>
    <s v="Bevételátadás belső működésre, idei forrás, saját bevétel"/>
    <m/>
    <m/>
    <s v="ÖSSZEGZŐ SOR"/>
    <n v="0"/>
    <n v="0"/>
    <n v="0"/>
    <n v="0"/>
  </r>
  <r>
    <m/>
    <m/>
    <m/>
    <m/>
    <s v="Belső működési átadás xy1"/>
    <s v="B"/>
    <n v="299"/>
    <s v="SB Belső működési átadás"/>
    <n v="0"/>
    <n v="0"/>
    <n v="0"/>
    <n v="0"/>
  </r>
  <r>
    <m/>
    <m/>
    <m/>
    <m/>
    <s v="Belső működési átadás xy2"/>
    <s v="B"/>
    <n v="299"/>
    <s v="SB Belső működési átadás"/>
    <n v="0"/>
    <n v="0"/>
    <n v="0"/>
    <n v="0"/>
  </r>
  <r>
    <m/>
    <m/>
    <m/>
    <m/>
    <s v="Belső működési átadás xy3"/>
    <s v="B"/>
    <n v="299"/>
    <s v="SB Belső működési átadás"/>
    <n v="0"/>
    <n v="0"/>
    <n v="0"/>
    <n v="0"/>
  </r>
  <r>
    <m/>
    <m/>
    <m/>
    <m/>
    <s v="Belső működési átadás xy4"/>
    <s v="B"/>
    <n v="299"/>
    <s v="SB Belső működési átadás"/>
    <n v="0"/>
    <n v="0"/>
    <n v="0"/>
    <n v="0"/>
  </r>
  <r>
    <m/>
    <m/>
    <m/>
    <m/>
    <s v="Belső működési átadás xy5"/>
    <s v="B"/>
    <n v="299"/>
    <s v="SB Belső működési átadás"/>
    <n v="0"/>
    <n v="0"/>
    <n v="0"/>
    <n v="0"/>
  </r>
  <r>
    <m/>
    <m/>
    <m/>
    <m/>
    <s v="Bevételátadás belső működésre, idei forrás, támogatás"/>
    <m/>
    <m/>
    <s v="ÖSSZEGZŐ SOR"/>
    <n v="0"/>
    <n v="0"/>
    <n v="0"/>
    <n v="0"/>
  </r>
  <r>
    <m/>
    <m/>
    <m/>
    <m/>
    <s v="Belső működési átadás xy1"/>
    <s v="B"/>
    <n v="344"/>
    <s v="T Belső működésre átadás"/>
    <n v="0"/>
    <n v="0"/>
    <n v="0"/>
    <n v="0"/>
  </r>
  <r>
    <m/>
    <m/>
    <m/>
    <m/>
    <s v="Belső működési átadás xy2"/>
    <s v="B"/>
    <n v="344"/>
    <s v="T Belső működésre átadás"/>
    <n v="0"/>
    <n v="0"/>
    <n v="0"/>
    <n v="0"/>
  </r>
  <r>
    <m/>
    <m/>
    <m/>
    <m/>
    <s v="Belső működési átadás xy3"/>
    <s v="B"/>
    <n v="344"/>
    <s v="T Belső működésre átadás"/>
    <n v="0"/>
    <n v="0"/>
    <n v="0"/>
    <n v="0"/>
  </r>
  <r>
    <m/>
    <m/>
    <m/>
    <m/>
    <s v="Belső működési átadás xy4"/>
    <s v="B"/>
    <n v="344"/>
    <s v="T Belső működésre átadás"/>
    <n v="0"/>
    <n v="0"/>
    <n v="0"/>
    <n v="0"/>
  </r>
  <r>
    <m/>
    <m/>
    <m/>
    <m/>
    <s v="Belső működési átadás xy5"/>
    <s v="B"/>
    <n v="344"/>
    <s v="T Belső működésre átadás"/>
    <n v="0"/>
    <n v="0"/>
    <n v="0"/>
    <n v="0"/>
  </r>
  <r>
    <s v="1."/>
    <s v="Személyi kiadások (üzemeltetetés és informatika nélkül)"/>
    <s v="K"/>
    <s v="K1.a."/>
    <s v="Személyi kiadások (kari kiválósági nélkül)"/>
    <s v="K2A"/>
    <m/>
    <s v="ÖSSZEGZŐ SOR"/>
    <n v="169711371.39793551"/>
    <n v="0"/>
    <n v="169711371.39793551"/>
    <n v="0"/>
  </r>
  <r>
    <m/>
    <m/>
    <m/>
    <m/>
    <s v="Személyi kiadások (kari kiválósági nélkül), maradvány"/>
    <s v="MK"/>
    <m/>
    <s v="MARADVÁNY"/>
    <m/>
    <n v="0"/>
    <n v="0"/>
    <n v="0"/>
  </r>
  <r>
    <m/>
    <m/>
    <m/>
    <m/>
    <s v="Személyi kiadások (kari kiválósági nélkül), idei forrás"/>
    <s v="K"/>
    <m/>
    <s v="idei forrás ÖSSZESEN: töltendő, ha nincs alábontás"/>
    <n v="169711371.39793551"/>
    <n v="0"/>
    <n v="169711371.39793551"/>
    <n v="0"/>
  </r>
  <r>
    <m/>
    <m/>
    <m/>
    <m/>
    <s v="Személyi kiadások (kari kiválósági nélkül)"/>
    <s v="K"/>
    <n v="14"/>
    <s v="Oktatók alapilletményei"/>
    <m/>
    <n v="0"/>
    <n v="0"/>
    <n v="0"/>
  </r>
  <r>
    <m/>
    <m/>
    <m/>
    <m/>
    <s v="Személyi kiadások (kari kiválósági nélkül)"/>
    <s v="K"/>
    <n v="15"/>
    <s v="Kutatók alapilletményei"/>
    <m/>
    <n v="0"/>
    <n v="0"/>
    <n v="0"/>
  </r>
  <r>
    <m/>
    <m/>
    <m/>
    <m/>
    <s v="Személyi kiadások (kari kiválósági nélkül)"/>
    <s v="K"/>
    <n v="16"/>
    <s v="Működést támogató közalkalmazottak alapilletményei"/>
    <m/>
    <n v="0"/>
    <n v="0"/>
    <n v="0"/>
  </r>
  <r>
    <m/>
    <m/>
    <m/>
    <m/>
    <s v="Személyi kiadások (kari kiválósági nélkül)"/>
    <s v="K"/>
    <n v="17"/>
    <s v="ALAPILLETMÉNY ÖSSZESEN"/>
    <m/>
    <n v="0"/>
    <n v="0"/>
    <n v="0"/>
  </r>
  <r>
    <m/>
    <m/>
    <m/>
    <m/>
    <s v="Személyi kiadások (kari kiválósági nélkül)"/>
    <s v="K"/>
    <n v="18"/>
    <s v="Illetménykiegészítés"/>
    <m/>
    <n v="0"/>
    <n v="0"/>
    <n v="0"/>
  </r>
  <r>
    <m/>
    <m/>
    <m/>
    <m/>
    <s v="Személyi kiadások (kari kiválósági nélkül)"/>
    <s v="K"/>
    <n v="19"/>
    <s v="Nyelvpótlék"/>
    <m/>
    <n v="0"/>
    <n v="0"/>
    <n v="0"/>
  </r>
  <r>
    <m/>
    <m/>
    <m/>
    <m/>
    <s v="Személyi kiadások (kari kiválósági nélkül)"/>
    <s v="K"/>
    <n v="20"/>
    <s v="Egyéb kötelező illetménypótlékok"/>
    <m/>
    <n v="0"/>
    <n v="0"/>
    <n v="0"/>
  </r>
  <r>
    <m/>
    <m/>
    <m/>
    <m/>
    <s v="Személyi kiadások (kari kiválósági nélkül)"/>
    <s v="K"/>
    <n v="21"/>
    <s v="Egyéb feltételtől függő pótlékok és juttatások"/>
    <m/>
    <n v="0"/>
    <n v="0"/>
    <n v="0"/>
  </r>
  <r>
    <m/>
    <m/>
    <m/>
    <m/>
    <s v="Személyi kiadások (kari kiválósági nélkül)"/>
    <s v="K"/>
    <n v="22"/>
    <s v="Rendszeres keresetkiegészítés"/>
    <m/>
    <n v="0"/>
    <n v="0"/>
    <n v="0"/>
  </r>
  <r>
    <m/>
    <m/>
    <m/>
    <m/>
    <s v="Személyi kiadások (kari kiválósági nélkül)"/>
    <s v="K"/>
    <n v="23"/>
    <s v="Eseti keresetkiegészítés"/>
    <m/>
    <n v="0"/>
    <n v="0"/>
    <n v="0"/>
  </r>
  <r>
    <m/>
    <m/>
    <m/>
    <m/>
    <s v="Személyi kiadások (kari kiválósági nélkül)"/>
    <s v="K"/>
    <n v="24"/>
    <s v="Egyéb juttatások kiadásai"/>
    <m/>
    <n v="0"/>
    <n v="0"/>
    <n v="0"/>
  </r>
  <r>
    <m/>
    <m/>
    <m/>
    <m/>
    <s v="Személyi kiadások (kari kiválósági nélkül)"/>
    <s v="K"/>
    <n v="25"/>
    <s v="Hallgatói munkadíjak"/>
    <m/>
    <n v="0"/>
    <n v="0"/>
    <n v="0"/>
  </r>
  <r>
    <m/>
    <m/>
    <m/>
    <m/>
    <s v="Személyi kiadások (kari kiválósági nélkül)"/>
    <s v="K"/>
    <n v="26"/>
    <s v="Üres álláshelyekre tervezett illetmény (okt+kut+egyéb+hallg)"/>
    <m/>
    <n v="0"/>
    <n v="0"/>
    <n v="0"/>
  </r>
  <r>
    <m/>
    <m/>
    <m/>
    <m/>
    <s v="Személyi kiadások (kari kiválósági nélkül)"/>
    <s v="K"/>
    <n v="27"/>
    <s v="Üres"/>
    <m/>
    <n v="0"/>
    <n v="0"/>
    <n v="0"/>
  </r>
  <r>
    <m/>
    <m/>
    <m/>
    <m/>
    <s v="Személyi kiadások (kari kiválósági nélkül)"/>
    <s v="K"/>
    <n v="28"/>
    <s v="Üres"/>
    <m/>
    <n v="0"/>
    <n v="0"/>
    <n v="0"/>
  </r>
  <r>
    <m/>
    <m/>
    <m/>
    <m/>
    <s v="Személyi kiadások (kari kiválósági nélkül)"/>
    <s v="K"/>
    <n v="29"/>
    <s v="TÖRVÉNY SZERINTI ILLETMÉNYEK"/>
    <m/>
    <n v="0"/>
    <n v="0"/>
    <n v="0"/>
  </r>
  <r>
    <m/>
    <m/>
    <m/>
    <m/>
    <s v="Személyi kiadások (kari kiválósági nélkül)"/>
    <s v="K"/>
    <n v="30"/>
    <s v="Céljuttatás, projektprémium"/>
    <m/>
    <n v="0"/>
    <n v="0"/>
    <n v="0"/>
  </r>
  <r>
    <m/>
    <m/>
    <m/>
    <m/>
    <s v="Személyi kiadások (kari kiválósági nélkül)"/>
    <s v="K"/>
    <n v="31"/>
    <s v="Készenlét. ügyelet. helyettesítési díj, túlóra"/>
    <m/>
    <n v="0"/>
    <n v="0"/>
    <n v="0"/>
  </r>
  <r>
    <m/>
    <m/>
    <m/>
    <m/>
    <s v="Személyi kiadások (kari kiválósági nélkül)"/>
    <s v="K"/>
    <n v="32"/>
    <s v="Végkielégítés"/>
    <m/>
    <n v="0"/>
    <n v="0"/>
    <n v="0"/>
  </r>
  <r>
    <m/>
    <m/>
    <m/>
    <m/>
    <s v="Személyi kiadások (kari kiválósági nélkül)"/>
    <s v="K"/>
    <n v="33"/>
    <s v="Jubileumi jutalom"/>
    <m/>
    <n v="0"/>
    <n v="0"/>
    <n v="0"/>
  </r>
  <r>
    <m/>
    <m/>
    <m/>
    <m/>
    <s v="Személyi kiadások (kari kiválósági nélkül)"/>
    <s v="K"/>
    <n v="34"/>
    <s v="Iskolarendsz.képzés hozzájár."/>
    <m/>
    <n v="0"/>
    <n v="0"/>
    <n v="0"/>
  </r>
  <r>
    <m/>
    <m/>
    <m/>
    <m/>
    <s v="Személyi kiadások (kari kiválósági nélkül)"/>
    <s v="K"/>
    <n v="35"/>
    <s v="Iskolakezdési támogatás teljesítése"/>
    <m/>
    <n v="0"/>
    <n v="0"/>
    <n v="0"/>
  </r>
  <r>
    <m/>
    <m/>
    <m/>
    <m/>
    <s v="Személyi kiadások (kari kiválósági nélkül)"/>
    <s v="K"/>
    <n v="36"/>
    <s v="Egyéb béren kívüli juttatás teljesítése"/>
    <m/>
    <n v="0"/>
    <n v="0"/>
    <n v="0"/>
  </r>
  <r>
    <m/>
    <m/>
    <m/>
    <m/>
    <s v="Személyi kiadások (kari kiválósági nélkül)"/>
    <s v="K"/>
    <n v="37"/>
    <s v="Munkábajárás útiköltsége, bérlet"/>
    <m/>
    <n v="0"/>
    <n v="0"/>
    <n v="0"/>
  </r>
  <r>
    <m/>
    <m/>
    <m/>
    <m/>
    <s v="Személyi kiadások (kari kiválósági nélkül)"/>
    <s v="K"/>
    <n v="38"/>
    <s v="Munkábajárás útiköltsége - saját gk. (9 Ft/km)"/>
    <m/>
    <n v="0"/>
    <n v="0"/>
    <n v="0"/>
  </r>
  <r>
    <m/>
    <m/>
    <m/>
    <m/>
    <s v="Személyi kiadások (kari kiválósági nélkül)"/>
    <s v="K"/>
    <n v="39"/>
    <s v="Egyéb költségtérítések (bankköltség)"/>
    <m/>
    <n v="0"/>
    <n v="0"/>
    <n v="0"/>
  </r>
  <r>
    <m/>
    <m/>
    <m/>
    <m/>
    <s v="Személyi kiadások (kari kiválósági nélkül)"/>
    <s v="K"/>
    <n v="40"/>
    <s v="Lakhatási támogatás,albérleti hozzájárulás"/>
    <m/>
    <n v="0"/>
    <n v="0"/>
    <n v="0"/>
  </r>
  <r>
    <m/>
    <m/>
    <m/>
    <m/>
    <s v="Személyi kiadások (kari kiválósági nélkül)"/>
    <s v="K"/>
    <n v="41"/>
    <s v="Szociális jellegű juttatások"/>
    <m/>
    <n v="0"/>
    <n v="0"/>
    <n v="0"/>
  </r>
  <r>
    <m/>
    <m/>
    <m/>
    <m/>
    <s v="Személyi kiadások (kari kiválósági nélkül)"/>
    <s v="K"/>
    <n v="42"/>
    <s v="Foglalkoztatottak e.szem.jutt.  (Távolléti díj)"/>
    <m/>
    <n v="0"/>
    <n v="0"/>
    <n v="0"/>
  </r>
  <r>
    <m/>
    <m/>
    <m/>
    <m/>
    <s v="Személyi kiadások (kari kiválósági nélkül)"/>
    <s v="K"/>
    <n v="43"/>
    <s v="Saját munkavállaló oktatási megbízási díj"/>
    <m/>
    <n v="0"/>
    <n v="0"/>
    <n v="0"/>
  </r>
  <r>
    <m/>
    <m/>
    <m/>
    <m/>
    <s v="Személyi kiadások (kari kiválósági nélkül)"/>
    <s v="K"/>
    <n v="44"/>
    <s v="Külföldi napidíj teljesítése"/>
    <m/>
    <n v="0"/>
    <n v="0"/>
    <n v="0"/>
  </r>
  <r>
    <m/>
    <m/>
    <m/>
    <m/>
    <s v="Személyi kiadások (kari kiválósági nélkül)"/>
    <s v="K"/>
    <n v="45"/>
    <s v="Bérkompenzáció (teljes és részmunkaidős foglalk.)"/>
    <m/>
    <n v="0"/>
    <n v="0"/>
    <n v="0"/>
  </r>
  <r>
    <m/>
    <m/>
    <m/>
    <m/>
    <s v="Személyi kiadások (kari kiválósági nélkül)"/>
    <s v="K"/>
    <n v="46"/>
    <s v="FOGLALKOZTATOTTAK SZEM. JUTTAT."/>
    <m/>
    <n v="0"/>
    <n v="0"/>
    <n v="0"/>
  </r>
  <r>
    <m/>
    <m/>
    <m/>
    <m/>
    <s v="Személyi kiadások (kari kiválósági nélkül)"/>
    <s v="K"/>
    <n v="47"/>
    <s v="Külső megbízott megbízási díj teljesítése"/>
    <m/>
    <n v="0"/>
    <n v="0"/>
    <n v="0"/>
  </r>
  <r>
    <m/>
    <m/>
    <m/>
    <m/>
    <s v="Személyi kiadások (kari kiválósági nélkül)"/>
    <s v="K"/>
    <n v="48"/>
    <s v="Külsős tiszteletdíj,szerzői díj,honoráriuma"/>
    <m/>
    <n v="0"/>
    <n v="0"/>
    <n v="0"/>
  </r>
  <r>
    <m/>
    <m/>
    <m/>
    <m/>
    <s v="Személyi kiadások (kari kiválósági nélkül)"/>
    <s v="K"/>
    <n v="49"/>
    <s v="Külsős belföldi napidíj teljesítése"/>
    <m/>
    <n v="0"/>
    <n v="0"/>
    <n v="0"/>
  </r>
  <r>
    <m/>
    <m/>
    <m/>
    <m/>
    <s v="Személyi kiadások (kari kiválósági nélkül)"/>
    <s v="K"/>
    <n v="50"/>
    <s v="Külsős külföldi napidíj teljesítése"/>
    <m/>
    <n v="0"/>
    <n v="0"/>
    <n v="0"/>
  </r>
  <r>
    <m/>
    <m/>
    <m/>
    <m/>
    <s v="Személyi kiadások (kari kiválósági nélkül)"/>
    <s v="K"/>
    <n v="51"/>
    <s v="MVÉGZÉSRE IR. E. JOGVISZONYBAN FIZETETT JUTTATÁSOK"/>
    <m/>
    <n v="0"/>
    <n v="0"/>
    <n v="0"/>
  </r>
  <r>
    <m/>
    <m/>
    <m/>
    <m/>
    <s v="Személyi kiadások (kari kiválósági nélkül)"/>
    <s v="K"/>
    <n v="52"/>
    <s v="Felmentési bér teljesítése"/>
    <m/>
    <n v="0"/>
    <n v="0"/>
    <n v="0"/>
  </r>
  <r>
    <m/>
    <m/>
    <m/>
    <m/>
    <s v="Személyi kiadások (kari kiválósági nélkül)"/>
    <s v="K"/>
    <n v="53"/>
    <s v="Munkaviszonyban nem állók költségtérítése"/>
    <m/>
    <n v="0"/>
    <n v="0"/>
    <n v="0"/>
  </r>
  <r>
    <m/>
    <m/>
    <m/>
    <m/>
    <s v="Személyi kiadások (kari kiválósági nélkül)"/>
    <s v="K"/>
    <n v="54"/>
    <s v="Ktg.és egyéb juttatások"/>
    <m/>
    <n v="0"/>
    <n v="0"/>
    <n v="0"/>
  </r>
  <r>
    <m/>
    <m/>
    <m/>
    <m/>
    <s v="Személyi kiadások (kari kiválósági nélkül)"/>
    <s v="K"/>
    <n v="55"/>
    <s v="Ktg.és egyéb jutt./vas.gyém.rubin okl.,ö.díj kieg.,OTKA p.)"/>
    <m/>
    <n v="0"/>
    <n v="0"/>
    <n v="0"/>
  </r>
  <r>
    <m/>
    <m/>
    <m/>
    <m/>
    <s v="Személyi kiadások (kari kiválósági nélkül)"/>
    <s v="K"/>
    <n v="56"/>
    <s v="Reprezentáció"/>
    <m/>
    <n v="0"/>
    <n v="0"/>
    <n v="0"/>
  </r>
  <r>
    <m/>
    <m/>
    <m/>
    <m/>
    <s v="Személyi kiadások (kari kiválósági nélkül)"/>
    <s v="K"/>
    <n v="57"/>
    <s v="EGYÉB KÜLSŐ SZEMÉLYI JUTTATÁSOK"/>
    <m/>
    <n v="0"/>
    <n v="0"/>
    <n v="0"/>
  </r>
  <r>
    <m/>
    <m/>
    <m/>
    <m/>
    <s v="Személyi kiadások (kari kiválósági nélkül)"/>
    <s v="K"/>
    <n v="58"/>
    <s v="KÜLSŐ SZEMÉLYI JUTTATÁSOK"/>
    <m/>
    <n v="0"/>
    <n v="0"/>
    <n v="0"/>
  </r>
  <r>
    <m/>
    <m/>
    <m/>
    <m/>
    <s v="Személyi kiadások (kari kiválósági nélkül)"/>
    <s v="K"/>
    <n v="59"/>
    <s v="SZEMÉLYI JUTTATÁSOK"/>
    <m/>
    <n v="0"/>
    <n v="0"/>
    <n v="0"/>
  </r>
  <r>
    <m/>
    <m/>
    <m/>
    <m/>
    <s v="Személyi kiadások (kari kiválósági nélkül)"/>
    <s v="K"/>
    <n v="60"/>
    <s v="SZOCHÓ (15,5%)"/>
    <m/>
    <n v="0"/>
    <n v="0"/>
    <n v="0"/>
  </r>
  <r>
    <m/>
    <m/>
    <m/>
    <m/>
    <s v="Személyi kiadások (kari kiválósági nélkül)"/>
    <s v="K"/>
    <n v="61"/>
    <s v="Üres"/>
    <m/>
    <n v="0"/>
    <n v="0"/>
    <n v="0"/>
  </r>
  <r>
    <m/>
    <m/>
    <m/>
    <m/>
    <s v="Személyi kiadások (kari kiválósági nélkül)"/>
    <s v="K"/>
    <n v="62"/>
    <s v="EKHO (15,5%)"/>
    <m/>
    <n v="0"/>
    <n v="0"/>
    <n v="0"/>
  </r>
  <r>
    <m/>
    <m/>
    <m/>
    <m/>
    <s v="Személyi kiadások (kari kiválósági nélkül)"/>
    <s v="K"/>
    <n v="63"/>
    <s v="Kifizetői 15,5 %-os SZOCHO"/>
    <m/>
    <n v="0"/>
    <n v="0"/>
    <n v="0"/>
  </r>
  <r>
    <m/>
    <m/>
    <m/>
    <m/>
    <s v="Személyi kiadások (kari kiválósági nélkül)"/>
    <s v="K"/>
    <n v="64"/>
    <s v="Kifizető által fizetett SZJA"/>
    <m/>
    <n v="0"/>
    <n v="0"/>
    <n v="0"/>
  </r>
  <r>
    <m/>
    <m/>
    <m/>
    <m/>
    <s v="Személyi kiadások (kari kiválósági nélkül)"/>
    <s v="K"/>
    <n v="65"/>
    <s v="Rehabilitációs hozzájárulás"/>
    <m/>
    <n v="0"/>
    <n v="0"/>
    <n v="0"/>
  </r>
  <r>
    <m/>
    <m/>
    <m/>
    <m/>
    <s v="Személyi kiadások (kari kiválósági nélkül)"/>
    <s v="K"/>
    <n v="66"/>
    <s v="MUNKAADÓKAT T.JÁRULÉKOK ÉS SZOCIÁLIS HOZZÁJÁRULÁSI ADÓ"/>
    <m/>
    <n v="0"/>
    <n v="0"/>
    <n v="0"/>
  </r>
  <r>
    <s v="4."/>
    <m/>
    <m/>
    <m/>
    <s v="Lektori finanszírozás megszüntetése miatti kiadásnövekmény"/>
    <s v="K2A"/>
    <m/>
    <s v="ÖSSZEGZŐ SOR"/>
    <n v="0"/>
    <n v="0"/>
    <n v="0"/>
    <n v="0"/>
  </r>
  <r>
    <m/>
    <s v="Személyi kiadások (üzemeltetetés és informatika nélkül)"/>
    <s v="K"/>
    <s v="K1.a."/>
    <s v="Lektori finanszírozás megszüntetése miatti kiadásnövekmény, személyi összesen"/>
    <m/>
    <m/>
    <m/>
    <n v="0"/>
    <n v="0"/>
    <n v="0"/>
    <n v="0"/>
  </r>
  <r>
    <m/>
    <m/>
    <m/>
    <m/>
    <s v="Lektori finanszírozás megszüntetése miatti kiadásnövekmény, személyi, maradvány"/>
    <s v="MK"/>
    <m/>
    <s v="MARADVÁNY"/>
    <m/>
    <n v="0"/>
    <n v="0"/>
    <n v="0"/>
  </r>
  <r>
    <m/>
    <m/>
    <m/>
    <m/>
    <s v="Lektori finanszírozás megszüntetése miatti kiadásnövekmény, személyi, idei forrás összesen"/>
    <s v="K"/>
    <m/>
    <s v="idei forrás ÖSSZESEN: töltendő, ha nincs alábontás"/>
    <m/>
    <n v="0"/>
    <n v="0"/>
    <n v="0"/>
  </r>
  <r>
    <m/>
    <m/>
    <m/>
    <m/>
    <s v="Lektori finanszírozás megszüntetése miatti kiadásnövekmény"/>
    <s v="K"/>
    <n v="14"/>
    <s v="Oktatók alapilletményei"/>
    <m/>
    <n v="0"/>
    <n v="0"/>
    <n v="0"/>
  </r>
  <r>
    <m/>
    <m/>
    <m/>
    <m/>
    <s v="Lektori finanszírozás megszüntetése miatti kiadásnövekmény"/>
    <s v="K"/>
    <n v="15"/>
    <s v="Kutatók alapilletményei"/>
    <m/>
    <n v="0"/>
    <n v="0"/>
    <n v="0"/>
  </r>
  <r>
    <m/>
    <m/>
    <m/>
    <m/>
    <s v="Lektori finanszírozás megszüntetése miatti kiadásnövekmény"/>
    <s v="K"/>
    <n v="16"/>
    <s v="Működést támogató közalkalmazottak alapilletményei"/>
    <m/>
    <n v="0"/>
    <n v="0"/>
    <n v="0"/>
  </r>
  <r>
    <m/>
    <m/>
    <m/>
    <m/>
    <s v="Lektori finanszírozás megszüntetése miatti kiadásnövekmény"/>
    <s v="K"/>
    <n v="17"/>
    <s v="ALAPILLETMÉNY ÖSSZESEN"/>
    <m/>
    <n v="0"/>
    <n v="0"/>
    <n v="0"/>
  </r>
  <r>
    <m/>
    <m/>
    <m/>
    <m/>
    <s v="Lektori finanszírozás megszüntetése miatti kiadásnövekmény"/>
    <s v="K"/>
    <n v="18"/>
    <s v="Illetménykiegészítés"/>
    <m/>
    <n v="0"/>
    <n v="0"/>
    <n v="0"/>
  </r>
  <r>
    <m/>
    <m/>
    <m/>
    <m/>
    <s v="Lektori finanszírozás megszüntetése miatti kiadásnövekmény"/>
    <s v="K"/>
    <n v="19"/>
    <s v="Nyelvpótlék"/>
    <m/>
    <n v="0"/>
    <n v="0"/>
    <n v="0"/>
  </r>
  <r>
    <m/>
    <m/>
    <m/>
    <m/>
    <s v="Lektori finanszírozás megszüntetése miatti kiadásnövekmény"/>
    <s v="K"/>
    <n v="20"/>
    <s v="Egyéb kötelező illetménypótlékok"/>
    <m/>
    <n v="0"/>
    <n v="0"/>
    <n v="0"/>
  </r>
  <r>
    <m/>
    <m/>
    <m/>
    <m/>
    <s v="Lektori finanszírozás megszüntetése miatti kiadásnövekmény"/>
    <s v="K"/>
    <n v="21"/>
    <s v="Egyéb feltételtől függő pótlékok és juttatások"/>
    <m/>
    <n v="0"/>
    <n v="0"/>
    <n v="0"/>
  </r>
  <r>
    <m/>
    <m/>
    <m/>
    <m/>
    <s v="Lektori finanszírozás megszüntetése miatti kiadásnövekmény"/>
    <s v="K"/>
    <n v="22"/>
    <s v="Rendszeres keresetkiegészítés"/>
    <m/>
    <n v="0"/>
    <n v="0"/>
    <n v="0"/>
  </r>
  <r>
    <m/>
    <m/>
    <m/>
    <m/>
    <s v="Lektori finanszírozás megszüntetése miatti kiadásnövekmény"/>
    <s v="K"/>
    <n v="23"/>
    <s v="Eseti keresetkiegészítés"/>
    <m/>
    <n v="0"/>
    <n v="0"/>
    <n v="0"/>
  </r>
  <r>
    <m/>
    <m/>
    <m/>
    <m/>
    <s v="Lektori finanszírozás megszüntetése miatti kiadásnövekmény"/>
    <s v="K"/>
    <n v="24"/>
    <s v="Egyéb juttatások kiadásai"/>
    <m/>
    <n v="0"/>
    <n v="0"/>
    <n v="0"/>
  </r>
  <r>
    <m/>
    <m/>
    <m/>
    <m/>
    <s v="Lektori finanszírozás megszüntetése miatti kiadásnövekmény"/>
    <s v="K"/>
    <n v="25"/>
    <s v="Hallgatói munkadíjak"/>
    <m/>
    <n v="0"/>
    <n v="0"/>
    <n v="0"/>
  </r>
  <r>
    <m/>
    <m/>
    <m/>
    <m/>
    <s v="Lektori finanszírozás megszüntetése miatti kiadásnövekmény"/>
    <s v="K"/>
    <n v="26"/>
    <s v="Üres álláshelyekre tervezett illetmény (okt+kut+egyéb+hallg)"/>
    <m/>
    <n v="0"/>
    <n v="0"/>
    <n v="0"/>
  </r>
  <r>
    <m/>
    <m/>
    <m/>
    <m/>
    <s v="Lektori finanszírozás megszüntetése miatti kiadásnövekmény"/>
    <s v="K"/>
    <n v="27"/>
    <s v="Üres"/>
    <m/>
    <n v="0"/>
    <n v="0"/>
    <n v="0"/>
  </r>
  <r>
    <m/>
    <m/>
    <m/>
    <m/>
    <s v="Lektori finanszírozás megszüntetése miatti kiadásnövekmény"/>
    <s v="K"/>
    <n v="28"/>
    <s v="Üres"/>
    <m/>
    <n v="0"/>
    <n v="0"/>
    <n v="0"/>
  </r>
  <r>
    <m/>
    <m/>
    <m/>
    <m/>
    <s v="Lektori finanszírozás megszüntetése miatti kiadásnövekmény"/>
    <s v="K"/>
    <n v="29"/>
    <s v="TÖRVÉNY SZERINTI ILLETMÉNYEK"/>
    <m/>
    <n v="0"/>
    <n v="0"/>
    <n v="0"/>
  </r>
  <r>
    <m/>
    <m/>
    <m/>
    <m/>
    <s v="Lektori finanszírozás megszüntetése miatti kiadásnövekmény"/>
    <s v="K"/>
    <n v="30"/>
    <s v="Céljuttatás, projektprémium"/>
    <m/>
    <n v="0"/>
    <n v="0"/>
    <n v="0"/>
  </r>
  <r>
    <m/>
    <m/>
    <m/>
    <m/>
    <s v="Lektori finanszírozás megszüntetése miatti kiadásnövekmény"/>
    <s v="K"/>
    <n v="31"/>
    <s v="Készenlét. ügyelet. helyettesítési díj, túlóra"/>
    <m/>
    <n v="0"/>
    <n v="0"/>
    <n v="0"/>
  </r>
  <r>
    <m/>
    <m/>
    <m/>
    <m/>
    <s v="Lektori finanszírozás megszüntetése miatti kiadásnövekmény"/>
    <s v="K"/>
    <n v="32"/>
    <s v="Végkielégítés"/>
    <m/>
    <n v="0"/>
    <n v="0"/>
    <n v="0"/>
  </r>
  <r>
    <m/>
    <m/>
    <m/>
    <m/>
    <s v="Lektori finanszírozás megszüntetése miatti kiadásnövekmény"/>
    <s v="K"/>
    <n v="33"/>
    <s v="Jubileumi jutalom"/>
    <m/>
    <n v="0"/>
    <n v="0"/>
    <n v="0"/>
  </r>
  <r>
    <m/>
    <m/>
    <m/>
    <m/>
    <s v="Lektori finanszírozás megszüntetése miatti kiadásnövekmény"/>
    <s v="K"/>
    <n v="34"/>
    <s v="Iskolarendsz.képzés hozzájár."/>
    <m/>
    <n v="0"/>
    <n v="0"/>
    <n v="0"/>
  </r>
  <r>
    <m/>
    <m/>
    <m/>
    <m/>
    <s v="Lektori finanszírozás megszüntetése miatti kiadásnövekmény"/>
    <s v="K"/>
    <n v="35"/>
    <s v="Iskolakezdési támogatás teljesítése"/>
    <m/>
    <n v="0"/>
    <n v="0"/>
    <n v="0"/>
  </r>
  <r>
    <m/>
    <m/>
    <m/>
    <m/>
    <s v="Lektori finanszírozás megszüntetése miatti kiadásnövekmény"/>
    <s v="K"/>
    <n v="36"/>
    <s v="Egyéb béren kívüli juttatás teljesítése"/>
    <m/>
    <n v="0"/>
    <n v="0"/>
    <n v="0"/>
  </r>
  <r>
    <m/>
    <m/>
    <m/>
    <m/>
    <s v="Lektori finanszírozás megszüntetése miatti kiadásnövekmény"/>
    <s v="K"/>
    <n v="37"/>
    <s v="Munkábajárás útiköltsége, bérlet"/>
    <m/>
    <n v="0"/>
    <n v="0"/>
    <n v="0"/>
  </r>
  <r>
    <m/>
    <m/>
    <m/>
    <m/>
    <s v="Lektori finanszírozás megszüntetése miatti kiadásnövekmény"/>
    <s v="K"/>
    <n v="38"/>
    <s v="Munkábajárás útiköltsége - saját gk. (9 Ft/km)"/>
    <m/>
    <n v="0"/>
    <n v="0"/>
    <n v="0"/>
  </r>
  <r>
    <m/>
    <m/>
    <m/>
    <m/>
    <s v="Lektori finanszírozás megszüntetése miatti kiadásnövekmény"/>
    <s v="K"/>
    <n v="39"/>
    <s v="Egyéb költségtérítések (bankköltség)"/>
    <m/>
    <n v="0"/>
    <n v="0"/>
    <n v="0"/>
  </r>
  <r>
    <m/>
    <m/>
    <m/>
    <m/>
    <s v="Lektori finanszírozás megszüntetése miatti kiadásnövekmény"/>
    <s v="K"/>
    <n v="40"/>
    <s v="Lakhatási támogatás,albérleti hozzájárulás"/>
    <m/>
    <n v="0"/>
    <n v="0"/>
    <n v="0"/>
  </r>
  <r>
    <m/>
    <m/>
    <m/>
    <m/>
    <s v="Lektori finanszírozás megszüntetése miatti kiadásnövekmény"/>
    <s v="K"/>
    <n v="41"/>
    <s v="Szociális jellegű juttatások"/>
    <m/>
    <n v="0"/>
    <n v="0"/>
    <n v="0"/>
  </r>
  <r>
    <m/>
    <m/>
    <m/>
    <m/>
    <s v="Lektori finanszírozás megszüntetése miatti kiadásnövekmény"/>
    <s v="K"/>
    <n v="42"/>
    <s v="Foglalkoztatottak e.szem.jutt.  (Távolléti díj)"/>
    <m/>
    <n v="0"/>
    <n v="0"/>
    <n v="0"/>
  </r>
  <r>
    <m/>
    <m/>
    <m/>
    <m/>
    <s v="Lektori finanszírozás megszüntetése miatti kiadásnövekmény"/>
    <s v="K"/>
    <n v="43"/>
    <s v="Saját munkavállaló oktatási megbízási díj"/>
    <m/>
    <n v="0"/>
    <n v="0"/>
    <n v="0"/>
  </r>
  <r>
    <m/>
    <m/>
    <m/>
    <m/>
    <s v="Lektori finanszírozás megszüntetése miatti kiadásnövekmény"/>
    <s v="K"/>
    <n v="44"/>
    <s v="Külföldi napidíj teljesítése"/>
    <m/>
    <n v="0"/>
    <n v="0"/>
    <n v="0"/>
  </r>
  <r>
    <m/>
    <m/>
    <m/>
    <m/>
    <s v="Lektori finanszírozás megszüntetése miatti kiadásnövekmény"/>
    <s v="K"/>
    <n v="45"/>
    <s v="Bérkompenzáció (teljes és részmunkaidős foglalk.)"/>
    <m/>
    <n v="0"/>
    <n v="0"/>
    <n v="0"/>
  </r>
  <r>
    <m/>
    <m/>
    <m/>
    <m/>
    <s v="Lektori finanszírozás megszüntetése miatti kiadásnövekmény"/>
    <s v="K"/>
    <n v="46"/>
    <s v="FOGLALKOZTATOTTAK SZEM. JUTTAT."/>
    <m/>
    <n v="0"/>
    <n v="0"/>
    <n v="0"/>
  </r>
  <r>
    <m/>
    <m/>
    <m/>
    <m/>
    <s v="Lektori finanszírozás megszüntetése miatti kiadásnövekmény"/>
    <s v="K"/>
    <n v="47"/>
    <s v="Külső megbízott megbízási díj teljesítése"/>
    <m/>
    <n v="0"/>
    <n v="0"/>
    <n v="0"/>
  </r>
  <r>
    <m/>
    <m/>
    <m/>
    <m/>
    <s v="Lektori finanszírozás megszüntetése miatti kiadásnövekmény"/>
    <s v="K"/>
    <n v="48"/>
    <s v="Külsős tiszteletdíj,szerzői díj,honoráriuma"/>
    <m/>
    <n v="0"/>
    <n v="0"/>
    <n v="0"/>
  </r>
  <r>
    <m/>
    <m/>
    <m/>
    <m/>
    <s v="Lektori finanszírozás megszüntetése miatti kiadásnövekmény"/>
    <s v="K"/>
    <n v="49"/>
    <s v="Külsős belföldi napidíj teljesítése"/>
    <m/>
    <n v="0"/>
    <n v="0"/>
    <n v="0"/>
  </r>
  <r>
    <m/>
    <m/>
    <m/>
    <m/>
    <s v="Lektori finanszírozás megszüntetése miatti kiadásnövekmény"/>
    <s v="K"/>
    <n v="50"/>
    <s v="Külsős külföldi napidíj teljesítése"/>
    <m/>
    <n v="0"/>
    <n v="0"/>
    <n v="0"/>
  </r>
  <r>
    <m/>
    <m/>
    <m/>
    <m/>
    <s v="Lektori finanszírozás megszüntetése miatti kiadásnövekmény"/>
    <s v="K"/>
    <n v="51"/>
    <s v="MVÉGZÉSRE IR. E. JOGVISZONYBAN FIZETETT JUTTATÁSOK"/>
    <m/>
    <n v="0"/>
    <n v="0"/>
    <n v="0"/>
  </r>
  <r>
    <m/>
    <m/>
    <m/>
    <m/>
    <s v="Lektori finanszírozás megszüntetése miatti kiadásnövekmény"/>
    <s v="K"/>
    <n v="52"/>
    <s v="Felmentési bér teljesítése"/>
    <m/>
    <n v="0"/>
    <n v="0"/>
    <n v="0"/>
  </r>
  <r>
    <m/>
    <m/>
    <m/>
    <m/>
    <s v="Lektori finanszírozás megszüntetése miatti kiadásnövekmény"/>
    <s v="K"/>
    <n v="53"/>
    <s v="Munkaviszonyban nem állók költségtérítése"/>
    <m/>
    <n v="0"/>
    <n v="0"/>
    <n v="0"/>
  </r>
  <r>
    <m/>
    <m/>
    <m/>
    <m/>
    <s v="Lektori finanszírozás megszüntetése miatti kiadásnövekmény"/>
    <s v="K"/>
    <n v="54"/>
    <s v="Ktg.és egyéb juttatások"/>
    <m/>
    <n v="0"/>
    <n v="0"/>
    <n v="0"/>
  </r>
  <r>
    <m/>
    <m/>
    <m/>
    <m/>
    <s v="Lektori finanszírozás megszüntetése miatti kiadásnövekmény"/>
    <s v="K"/>
    <n v="55"/>
    <s v="Ktg.és egyéb jutt./vas.gyém.rubin okl.,ö.díj kieg.,OTKA p.)"/>
    <m/>
    <n v="0"/>
    <n v="0"/>
    <n v="0"/>
  </r>
  <r>
    <m/>
    <m/>
    <m/>
    <m/>
    <s v="Lektori finanszírozás megszüntetése miatti kiadásnövekmény"/>
    <s v="K"/>
    <n v="56"/>
    <s v="Reprezentáció"/>
    <m/>
    <n v="0"/>
    <n v="0"/>
    <n v="0"/>
  </r>
  <r>
    <m/>
    <m/>
    <m/>
    <m/>
    <s v="Lektori finanszírozás megszüntetése miatti kiadásnövekmény"/>
    <s v="K"/>
    <n v="57"/>
    <s v="EGYÉB KÜLSŐ SZEMÉLYI JUTTATÁSOK"/>
    <m/>
    <n v="0"/>
    <n v="0"/>
    <n v="0"/>
  </r>
  <r>
    <m/>
    <m/>
    <m/>
    <m/>
    <s v="Lektori finanszírozás megszüntetése miatti kiadásnövekmény"/>
    <s v="K"/>
    <n v="58"/>
    <s v="KÜLSŐ SZEMÉLYI JUTTATÁSOK"/>
    <m/>
    <n v="0"/>
    <n v="0"/>
    <n v="0"/>
  </r>
  <r>
    <m/>
    <m/>
    <m/>
    <m/>
    <s v="Lektori finanszírozás megszüntetése miatti kiadásnövekmény"/>
    <s v="K"/>
    <n v="59"/>
    <s v="SZEMÉLYI JUTTATÁSOK"/>
    <m/>
    <n v="0"/>
    <n v="0"/>
    <n v="0"/>
  </r>
  <r>
    <m/>
    <m/>
    <m/>
    <m/>
    <s v="Lektori finanszírozás megszüntetése miatti kiadásnövekmény"/>
    <s v="K"/>
    <n v="60"/>
    <s v="SZOCHÓ (15,5%)"/>
    <m/>
    <n v="0"/>
    <n v="0"/>
    <n v="0"/>
  </r>
  <r>
    <m/>
    <m/>
    <m/>
    <m/>
    <s v="Lektori finanszírozás megszüntetése miatti kiadásnövekmény"/>
    <s v="K"/>
    <n v="61"/>
    <s v="Üres"/>
    <m/>
    <n v="0"/>
    <n v="0"/>
    <n v="0"/>
  </r>
  <r>
    <m/>
    <m/>
    <m/>
    <m/>
    <s v="Lektori finanszírozás megszüntetése miatti kiadásnövekmény"/>
    <s v="K"/>
    <n v="62"/>
    <s v="EKHO (15,5%)"/>
    <m/>
    <n v="0"/>
    <n v="0"/>
    <n v="0"/>
  </r>
  <r>
    <m/>
    <m/>
    <m/>
    <m/>
    <s v="Lektori finanszírozás megszüntetése miatti kiadásnövekmény"/>
    <s v="K"/>
    <n v="63"/>
    <s v="Kifizetői 15,5 %-os SZOCHO"/>
    <m/>
    <n v="0"/>
    <n v="0"/>
    <n v="0"/>
  </r>
  <r>
    <m/>
    <m/>
    <m/>
    <m/>
    <s v="Lektori finanszírozás megszüntetése miatti kiadásnövekmény"/>
    <s v="K"/>
    <n v="64"/>
    <s v="Kifizető által fizetett SZJA"/>
    <m/>
    <n v="0"/>
    <n v="0"/>
    <n v="0"/>
  </r>
  <r>
    <m/>
    <m/>
    <m/>
    <m/>
    <s v="Lektori finanszírozás megszüntetése miatti kiadásnövekmény"/>
    <s v="K"/>
    <n v="65"/>
    <s v="Rehabilitációs hozzájárulás"/>
    <m/>
    <n v="0"/>
    <n v="0"/>
    <n v="0"/>
  </r>
  <r>
    <m/>
    <m/>
    <m/>
    <m/>
    <s v="Lektori finanszírozás megszüntetése miatti kiadásnövekmény"/>
    <s v="K"/>
    <n v="66"/>
    <s v="MUNKAADÓKAT T.JÁRULÉKOK ÉS SZOCIÁLIS HOZZÁJÁRULÁSI ADÓ"/>
    <m/>
    <n v="0"/>
    <n v="0"/>
    <n v="0"/>
  </r>
  <r>
    <m/>
    <s v="Dologi kiadások (üzemeltetetés és informatika nélkül)"/>
    <s v="K"/>
    <s v="K2.a. "/>
    <s v="Lektori finanszírozás megszüntetése miatti kiadásnövekmény, dologi összesen"/>
    <m/>
    <m/>
    <m/>
    <m/>
    <n v="0"/>
    <n v="0"/>
    <n v="0"/>
  </r>
  <r>
    <m/>
    <m/>
    <m/>
    <m/>
    <s v="Lektori finanszírozás megszüntetése miatti kiadásnövekmény, dologi, maradvány"/>
    <s v="MK"/>
    <m/>
    <s v="MARADVÁNY"/>
    <n v="0"/>
    <n v="0"/>
    <n v="0"/>
    <n v="0"/>
  </r>
  <r>
    <m/>
    <m/>
    <m/>
    <m/>
    <s v="Lektori finanszírozás megszüntetése miatti kiadásnövekmény, dologi, idei forrás összesen"/>
    <s v="K"/>
    <m/>
    <s v="idei forrás ÖSSZESEN: töltendő, ha nincs alábontás"/>
    <m/>
    <n v="0"/>
    <n v="0"/>
    <n v="0"/>
  </r>
  <r>
    <m/>
    <m/>
    <m/>
    <m/>
    <s v="Lektori finanszírozás megszüntetése miatti kiadásnövekmény, idei forrás, dologi"/>
    <s v="K"/>
    <n v="67"/>
    <s v="Gyógyszerbeszerzés"/>
    <m/>
    <n v="0"/>
    <n v="0"/>
    <n v="0"/>
  </r>
  <r>
    <m/>
    <m/>
    <m/>
    <m/>
    <s v="Lektori finanszírozás megszüntetése miatti kiadásnövekmény, idei forrás, dologi"/>
    <s v="K"/>
    <n v="68"/>
    <s v="Vegyszerbeszerzés"/>
    <m/>
    <n v="0"/>
    <n v="0"/>
    <n v="0"/>
  </r>
  <r>
    <m/>
    <m/>
    <m/>
    <m/>
    <s v="Lektori finanszírozás megszüntetése miatti kiadásnövekmény, idei forrás, dologi"/>
    <s v="K"/>
    <n v="69"/>
    <s v="Egyéb szakmai anyagbeszerzés"/>
    <m/>
    <n v="0"/>
    <n v="0"/>
    <n v="0"/>
  </r>
  <r>
    <m/>
    <m/>
    <m/>
    <m/>
    <s v="Lektori finanszírozás megszüntetése miatti kiadásnövekmény, idei forrás, dologi"/>
    <s v="K"/>
    <n v="70"/>
    <s v="Könyvbeszerzés (5% ÁFA)"/>
    <m/>
    <n v="0"/>
    <n v="0"/>
    <n v="0"/>
  </r>
  <r>
    <m/>
    <m/>
    <m/>
    <m/>
    <s v="Lektori finanszírozás megszüntetése miatti kiadásnövekmény, idei forrás, dologi"/>
    <s v="K"/>
    <n v="71"/>
    <s v="Egy éven belül elhasználódó szakmai anyag"/>
    <m/>
    <n v="0"/>
    <n v="0"/>
    <n v="0"/>
  </r>
  <r>
    <m/>
    <m/>
    <m/>
    <m/>
    <s v="Lektori finanszírozás megszüntetése miatti kiadásnövekmény, idei forrás, dologi"/>
    <s v="K"/>
    <n v="73"/>
    <s v="Irodaszer. sokszorosítási. számítástechnikai anyagok"/>
    <m/>
    <n v="0"/>
    <n v="0"/>
    <n v="0"/>
  </r>
  <r>
    <m/>
    <m/>
    <m/>
    <m/>
    <s v="Lektori finanszírozás megszüntetése miatti kiadásnövekmény, idei forrás, dologi"/>
    <s v="K"/>
    <n v="74"/>
    <s v="Nyomtatvány beszerzés"/>
    <m/>
    <n v="0"/>
    <n v="0"/>
    <n v="0"/>
  </r>
  <r>
    <m/>
    <m/>
    <m/>
    <m/>
    <s v="Lektori finanszírozás megszüntetése miatti kiadásnövekmény, idei forrás, dologi"/>
    <s v="K"/>
    <n v="75"/>
    <s v="Hajtó- és kenőanyag beszerzése"/>
    <m/>
    <n v="0"/>
    <n v="0"/>
    <n v="0"/>
  </r>
  <r>
    <m/>
    <m/>
    <m/>
    <m/>
    <s v="Lektori finanszírozás megszüntetése miatti kiadásnövekmény, idei forrás, dologi"/>
    <s v="K"/>
    <n v="76"/>
    <s v="Munka-. védő- és formaruha beszerzés"/>
    <m/>
    <n v="0"/>
    <n v="0"/>
    <n v="0"/>
  </r>
  <r>
    <m/>
    <m/>
    <m/>
    <m/>
    <s v="Lektori finanszírozás megszüntetése miatti kiadásnövekmény, idei forrás, dologi"/>
    <s v="K"/>
    <n v="77"/>
    <s v="Karbantartási anyagok. alkatrészek.szerszámok beszerz"/>
    <m/>
    <n v="0"/>
    <n v="0"/>
    <n v="0"/>
  </r>
  <r>
    <m/>
    <m/>
    <m/>
    <m/>
    <s v="Lektori finanszírozás megszüntetése miatti kiadásnövekmény, idei forrás, dologi"/>
    <s v="K"/>
    <n v="78"/>
    <s v="Bútorok.berend..felszer. tárgyak. textíliák beszerz."/>
    <m/>
    <n v="0"/>
    <n v="0"/>
    <n v="0"/>
  </r>
  <r>
    <m/>
    <m/>
    <m/>
    <m/>
    <s v="Lektori finanszírozás megszüntetése miatti kiadásnövekmény, idei forrás, dologi"/>
    <s v="K"/>
    <n v="79"/>
    <s v="Tisztítószerek. tisztálkodási szerek beszerzése"/>
    <m/>
    <n v="0"/>
    <n v="0"/>
    <n v="0"/>
  </r>
  <r>
    <m/>
    <m/>
    <m/>
    <m/>
    <s v="Lektori finanszírozás megszüntetése miatti kiadásnövekmény, idei forrás, dologi"/>
    <s v="K"/>
    <n v="80"/>
    <s v="Számítástechnikai alkatrészek.készletek beszerzése"/>
    <m/>
    <n v="0"/>
    <n v="0"/>
    <n v="0"/>
  </r>
  <r>
    <m/>
    <m/>
    <m/>
    <m/>
    <s v="Lektori finanszírozás megszüntetése miatti kiadásnövekmény, idei forrás, dologi"/>
    <s v="K"/>
    <n v="81"/>
    <s v="Egyéb készletbeszerzés"/>
    <m/>
    <n v="0"/>
    <n v="0"/>
    <n v="0"/>
  </r>
  <r>
    <m/>
    <m/>
    <m/>
    <m/>
    <s v="Lektori finanszírozás megszüntetése miatti kiadásnövekmény, idei forrás, dologi"/>
    <s v="K"/>
    <n v="84"/>
    <s v="Számítástechnikai oktatási szolg."/>
    <m/>
    <n v="0"/>
    <n v="0"/>
    <n v="0"/>
  </r>
  <r>
    <m/>
    <m/>
    <m/>
    <m/>
    <s v="Lektori finanszírozás megszüntetése miatti kiadásnövekmény, idei forrás, dologi"/>
    <s v="K"/>
    <n v="85"/>
    <s v="Inform.eszközök, szolg.bérlet,lízingelés ktg."/>
    <m/>
    <n v="0"/>
    <n v="0"/>
    <n v="0"/>
  </r>
  <r>
    <m/>
    <m/>
    <m/>
    <m/>
    <s v="Lektori finanszírozás megszüntetése miatti kiadásnövekmény, idei forrás, dologi"/>
    <s v="K"/>
    <n v="86"/>
    <s v="Informatikai eszközök karbantartása. kisjav."/>
    <m/>
    <n v="0"/>
    <n v="0"/>
    <n v="0"/>
  </r>
  <r>
    <m/>
    <m/>
    <m/>
    <m/>
    <s v="Lektori finanszírozás megszüntetése miatti kiadásnövekmény, idei forrás, dologi"/>
    <s v="K"/>
    <n v="87"/>
    <s v="Adatfeldolgozási szolgáltatások"/>
    <m/>
    <n v="0"/>
    <n v="0"/>
    <n v="0"/>
  </r>
  <r>
    <m/>
    <m/>
    <m/>
    <m/>
    <s v="Lektori finanszírozás megszüntetése miatti kiadásnövekmény, idei forrás, dologi"/>
    <s v="K"/>
    <n v="88"/>
    <s v="Adatátviteli célú távközlési díjak"/>
    <m/>
    <n v="0"/>
    <n v="0"/>
    <n v="0"/>
  </r>
  <r>
    <m/>
    <m/>
    <m/>
    <m/>
    <s v="Lektori finanszírozás megszüntetése miatti kiadásnövekmény, idei forrás, dologi"/>
    <s v="K"/>
    <n v="90"/>
    <s v="TV előfizetési díj"/>
    <m/>
    <n v="0"/>
    <n v="0"/>
    <n v="0"/>
  </r>
  <r>
    <m/>
    <m/>
    <m/>
    <m/>
    <s v="Lektori finanszírozás megszüntetése miatti kiadásnövekmény, idei forrás, dologi"/>
    <s v="K"/>
    <n v="91"/>
    <s v="Egyéb kommunikációs szolgáltatások"/>
    <m/>
    <n v="0"/>
    <n v="0"/>
    <n v="0"/>
  </r>
  <r>
    <m/>
    <m/>
    <m/>
    <m/>
    <s v="Lektori finanszírozás megszüntetése miatti kiadásnövekmény, idei forrás, dologi"/>
    <s v="K"/>
    <n v="92"/>
    <s v="Nem adatátviteli célú távközlési díjak"/>
    <m/>
    <n v="0"/>
    <n v="0"/>
    <n v="0"/>
  </r>
  <r>
    <m/>
    <m/>
    <m/>
    <m/>
    <s v="Lektori finanszírozás megszüntetése miatti kiadásnövekmény, idei forrás, dologi"/>
    <s v="K"/>
    <n v="93"/>
    <s v="Nem járulékköteles távközlési díj"/>
    <m/>
    <n v="0"/>
    <n v="0"/>
    <n v="0"/>
  </r>
  <r>
    <m/>
    <m/>
    <m/>
    <m/>
    <s v="Lektori finanszírozás megszüntetése miatti kiadásnövekmény, idei forrás, dologi"/>
    <s v="K"/>
    <n v="96"/>
    <s v="Villamosenergia szolgáltatás díja"/>
    <m/>
    <n v="0"/>
    <n v="0"/>
    <n v="0"/>
  </r>
  <r>
    <m/>
    <m/>
    <m/>
    <m/>
    <s v="Lektori finanszírozás megszüntetése miatti kiadásnövekmény, idei forrás, dologi"/>
    <s v="K"/>
    <n v="97"/>
    <s v="Gázenergia szolgáltatás díja"/>
    <m/>
    <n v="0"/>
    <n v="0"/>
    <n v="0"/>
  </r>
  <r>
    <m/>
    <m/>
    <m/>
    <m/>
    <s v="Lektori finanszírozás megszüntetése miatti kiadásnövekmény, idei forrás, dologi"/>
    <s v="K"/>
    <n v="98"/>
    <s v="Távhő és melegvíz szolgáltatás díja"/>
    <m/>
    <n v="0"/>
    <n v="0"/>
    <n v="0"/>
  </r>
  <r>
    <m/>
    <m/>
    <m/>
    <m/>
    <s v="Lektori finanszírozás megszüntetése miatti kiadásnövekmény, idei forrás, dologi"/>
    <s v="K"/>
    <n v="99"/>
    <s v="Víz- és csatornadíjak"/>
    <m/>
    <n v="0"/>
    <n v="0"/>
    <n v="0"/>
  </r>
  <r>
    <m/>
    <m/>
    <m/>
    <m/>
    <s v="Lektori finanszírozás megszüntetése miatti kiadásnövekmény, idei forrás, dologi"/>
    <s v="K"/>
    <n v="100"/>
    <s v="ÁFA mentes villamosenergia szolgáltatás díja"/>
    <m/>
    <n v="0"/>
    <n v="0"/>
    <n v="0"/>
  </r>
  <r>
    <m/>
    <m/>
    <m/>
    <m/>
    <s v="Lektori finanszírozás megszüntetése miatti kiadásnövekmény, idei forrás, dologi"/>
    <s v="K"/>
    <n v="102"/>
    <s v="Vásárolt élelmezés"/>
    <m/>
    <n v="0"/>
    <n v="0"/>
    <n v="0"/>
  </r>
  <r>
    <m/>
    <m/>
    <m/>
    <m/>
    <s v="Lektori finanszírozás megszüntetése miatti kiadásnövekmény, idei forrás, dologi"/>
    <s v="K"/>
    <n v="104"/>
    <s v="PPP szolgáltatás"/>
    <m/>
    <n v="0"/>
    <n v="0"/>
    <n v="0"/>
  </r>
  <r>
    <m/>
    <m/>
    <m/>
    <m/>
    <s v="Lektori finanszírozás megszüntetése miatti kiadásnövekmény, idei forrás, dologi"/>
    <s v="K"/>
    <n v="105"/>
    <s v="Egyéb kül. bérleti és lízing díjak (PPP nélkül)"/>
    <m/>
    <n v="0"/>
    <n v="0"/>
    <n v="0"/>
  </r>
  <r>
    <m/>
    <m/>
    <m/>
    <m/>
    <s v="Lektori finanszírozás megszüntetése miatti kiadásnövekmény, idei forrás, dologi"/>
    <s v="K"/>
    <n v="106"/>
    <s v="Ingatlan bérleti díj költségei (Áfa mentes)"/>
    <m/>
    <n v="0"/>
    <n v="0"/>
    <n v="0"/>
  </r>
  <r>
    <m/>
    <m/>
    <m/>
    <m/>
    <s v="Lektori finanszírozás megszüntetése miatti kiadásnövekmény, idei forrás, dologi"/>
    <s v="K"/>
    <n v="108"/>
    <s v="Ingatlanok karbantartása. kisjavítása"/>
    <m/>
    <n v="0"/>
    <n v="0"/>
    <n v="0"/>
  </r>
  <r>
    <m/>
    <m/>
    <m/>
    <m/>
    <s v="Lektori finanszírozás megszüntetése miatti kiadásnövekmény, idei forrás, dologi"/>
    <s v="K"/>
    <n v="109"/>
    <s v="Gépek berendezések karbantartása, kisjavítása ktg."/>
    <m/>
    <n v="0"/>
    <n v="0"/>
    <n v="0"/>
  </r>
  <r>
    <m/>
    <m/>
    <m/>
    <m/>
    <s v="Lektori finanszírozás megszüntetése miatti kiadásnövekmény, idei forrás, dologi"/>
    <s v="K"/>
    <n v="110"/>
    <s v="Járművekkel kapcsolatos karbantartási, kisjav. kiadások"/>
    <m/>
    <n v="0"/>
    <n v="0"/>
    <n v="0"/>
  </r>
  <r>
    <m/>
    <m/>
    <m/>
    <m/>
    <s v="Lektori finanszírozás megszüntetése miatti kiadásnövekmény, idei forrás, dologi"/>
    <s v="K"/>
    <n v="112"/>
    <s v="AHT-n belüli közvetített szolgáltatások"/>
    <m/>
    <n v="0"/>
    <n v="0"/>
    <n v="0"/>
  </r>
  <r>
    <m/>
    <m/>
    <m/>
    <m/>
    <s v="Lektori finanszírozás megszüntetése miatti kiadásnövekmény, idei forrás, dologi"/>
    <s v="K"/>
    <n v="113"/>
    <s v="AHT-n kívüli közvetített szolgáltatások"/>
    <m/>
    <n v="0"/>
    <n v="0"/>
    <n v="0"/>
  </r>
  <r>
    <m/>
    <m/>
    <m/>
    <m/>
    <s v="Lektori finanszírozás megszüntetése miatti kiadásnövekmény, idei forrás, dologi"/>
    <s v="K"/>
    <n v="115"/>
    <s v="Vásárolt közszolgáltatások (pld. egészségügyi)"/>
    <m/>
    <n v="0"/>
    <n v="0"/>
    <n v="0"/>
  </r>
  <r>
    <m/>
    <m/>
    <m/>
    <m/>
    <s v="Lektori finanszírozás megszüntetése miatti kiadásnövekmény, idei forrás, dologi"/>
    <s v="K"/>
    <n v="116"/>
    <s v="Jogi szolgáltatások"/>
    <m/>
    <n v="0"/>
    <n v="0"/>
    <n v="0"/>
  </r>
  <r>
    <m/>
    <m/>
    <m/>
    <m/>
    <s v="Lektori finanszírozás megszüntetése miatti kiadásnövekmény, idei forrás, dologi"/>
    <s v="K"/>
    <n v="117"/>
    <s v="Számlázott (okt..kut.)szellemi tev.kiad."/>
    <m/>
    <n v="0"/>
    <n v="0"/>
    <n v="0"/>
  </r>
  <r>
    <m/>
    <m/>
    <m/>
    <m/>
    <s v="Lektori finanszírozás megszüntetése miatti kiadásnövekmény, idei forrás, dologi"/>
    <s v="K"/>
    <n v="118"/>
    <s v="Szakmai szolgáltatások"/>
    <m/>
    <n v="0"/>
    <n v="0"/>
    <n v="0"/>
  </r>
  <r>
    <m/>
    <m/>
    <m/>
    <m/>
    <s v="Lektori finanszírozás megszüntetése miatti kiadásnövekmény, idei forrás, dologi"/>
    <s v="K"/>
    <n v="119"/>
    <s v="Sport és kulturális szolgáltatás"/>
    <m/>
    <n v="0"/>
    <n v="0"/>
    <n v="0"/>
  </r>
  <r>
    <m/>
    <m/>
    <m/>
    <m/>
    <s v="Lektori finanszírozás megszüntetése miatti kiadásnövekmény, idei forrás, dologi"/>
    <s v="K"/>
    <n v="120"/>
    <s v="Tanfolyamok. továbbképzések"/>
    <m/>
    <n v="0"/>
    <n v="0"/>
    <n v="0"/>
  </r>
  <r>
    <m/>
    <m/>
    <m/>
    <m/>
    <s v="Lektori finanszírozás megszüntetése miatti kiadásnövekmény, idei forrás, dologi"/>
    <s v="K"/>
    <n v="122"/>
    <s v="Egyéb pénzügyi szoltáltatások (bankktg.)"/>
    <m/>
    <n v="0"/>
    <n v="0"/>
    <n v="0"/>
  </r>
  <r>
    <m/>
    <m/>
    <m/>
    <m/>
    <s v="Lektori finanszírozás megszüntetése miatti kiadásnövekmény, idei forrás, dologi"/>
    <s v="K"/>
    <n v="123"/>
    <s v="Anyag- és áruszállítás költségei"/>
    <m/>
    <n v="0"/>
    <n v="0"/>
    <n v="0"/>
  </r>
  <r>
    <m/>
    <m/>
    <m/>
    <m/>
    <s v="Lektori finanszírozás megszüntetése miatti kiadásnövekmény, idei forrás, dologi"/>
    <s v="K"/>
    <n v="124"/>
    <s v="Egyéb szállítás költségei"/>
    <m/>
    <n v="0"/>
    <n v="0"/>
    <n v="0"/>
  </r>
  <r>
    <m/>
    <m/>
    <m/>
    <m/>
    <s v="Lektori finanszírozás megszüntetése miatti kiadásnövekmény, idei forrás, dologi"/>
    <s v="K"/>
    <n v="125"/>
    <s v="Postai levél. csomag. feladott távirat"/>
    <m/>
    <n v="0"/>
    <n v="0"/>
    <n v="0"/>
  </r>
  <r>
    <m/>
    <m/>
    <m/>
    <m/>
    <s v="Lektori finanszírozás megszüntetése miatti kiadásnövekmény, idei forrás, dologi"/>
    <s v="K"/>
    <n v="126"/>
    <s v="Takarítás"/>
    <m/>
    <n v="0"/>
    <n v="0"/>
    <n v="0"/>
  </r>
  <r>
    <m/>
    <m/>
    <m/>
    <m/>
    <s v="Lektori finanszírozás megszüntetése miatti kiadásnövekmény, idei forrás, dologi"/>
    <s v="K"/>
    <n v="127"/>
    <s v="Rovarirtás"/>
    <m/>
    <n v="0"/>
    <n v="0"/>
    <n v="0"/>
  </r>
  <r>
    <m/>
    <m/>
    <m/>
    <m/>
    <s v="Lektori finanszírozás megszüntetése miatti kiadásnövekmény, idei forrás, dologi"/>
    <s v="K"/>
    <n v="128"/>
    <s v="Kommunális hulladék szállítási költségei"/>
    <m/>
    <n v="0"/>
    <n v="0"/>
    <n v="0"/>
  </r>
  <r>
    <m/>
    <m/>
    <m/>
    <m/>
    <s v="Lektori finanszírozás megszüntetése miatti kiadásnövekmény, idei forrás, dologi"/>
    <s v="K"/>
    <n v="129"/>
    <s v="Kéményseprési díjak költségei"/>
    <m/>
    <n v="0"/>
    <n v="0"/>
    <n v="0"/>
  </r>
  <r>
    <m/>
    <m/>
    <m/>
    <m/>
    <s v="Lektori finanszírozás megszüntetése miatti kiadásnövekmény, idei forrás, dologi"/>
    <s v="K"/>
    <n v="130"/>
    <s v="Nyomdai költség"/>
    <m/>
    <n v="0"/>
    <n v="0"/>
    <n v="0"/>
  </r>
  <r>
    <m/>
    <m/>
    <m/>
    <m/>
    <s v="Lektori finanszírozás megszüntetése miatti kiadásnövekmény, idei forrás, dologi"/>
    <s v="K"/>
    <n v="131"/>
    <s v="Ingatlanok üzemelt. fenntartási kiad."/>
    <m/>
    <n v="0"/>
    <n v="0"/>
    <n v="0"/>
  </r>
  <r>
    <m/>
    <m/>
    <m/>
    <m/>
    <s v="Lektori finanszírozás megszüntetése miatti kiadásnövekmény, idei forrás, dologi"/>
    <s v="K"/>
    <n v="132"/>
    <s v="Egyéb üzemelt. Kiadások (mosás, rakodás)"/>
    <m/>
    <n v="0"/>
    <n v="0"/>
    <n v="0"/>
  </r>
  <r>
    <m/>
    <m/>
    <m/>
    <m/>
    <s v="Lektori finanszírozás megszüntetése miatti kiadásnövekmény, idei forrás, dologi"/>
    <s v="K"/>
    <n v="133"/>
    <s v="Egyéb más jellegű szolg. Költségei (audit, ell.)"/>
    <m/>
    <n v="0"/>
    <n v="0"/>
    <n v="0"/>
  </r>
  <r>
    <m/>
    <m/>
    <m/>
    <m/>
    <s v="Lektori finanszírozás megszüntetése miatti kiadásnövekmény, idei forrás, dologi"/>
    <s v="K"/>
    <n v="134"/>
    <s v="Biztosítási díj (központilag fizetett vagyonbiztosítás)"/>
    <m/>
    <n v="0"/>
    <n v="0"/>
    <n v="0"/>
  </r>
  <r>
    <m/>
    <m/>
    <m/>
    <m/>
    <s v="Lektori finanszírozás megszüntetése miatti kiadásnövekmény, idei forrás, dologi"/>
    <s v="K"/>
    <n v="137"/>
    <s v="Külföldi kiküldetések kiadásai"/>
    <m/>
    <n v="0"/>
    <n v="0"/>
    <n v="0"/>
  </r>
  <r>
    <m/>
    <m/>
    <m/>
    <m/>
    <s v="Lektori finanszírozás megszüntetése miatti kiadásnövekmény, idei forrás, dologi"/>
    <s v="K"/>
    <n v="138"/>
    <s v="Belföldi kiküldetések kiadásai"/>
    <m/>
    <n v="0"/>
    <n v="0"/>
    <n v="0"/>
  </r>
  <r>
    <m/>
    <m/>
    <m/>
    <m/>
    <s v="Lektori finanszírozás megszüntetése miatti kiadásnövekmény, idei forrás, dologi"/>
    <s v="K"/>
    <n v="139"/>
    <s v="Reklám- és propaganda költségei"/>
    <m/>
    <n v="0"/>
    <n v="0"/>
    <n v="0"/>
  </r>
  <r>
    <m/>
    <m/>
    <m/>
    <m/>
    <s v="Lektori finanszírozás megszüntetése miatti kiadásnövekmény, idei forrás, dologi"/>
    <s v="K"/>
    <n v="141"/>
    <s v="Nem levonható egyenes adós ÁFA anyag, szolg."/>
    <m/>
    <n v="0"/>
    <n v="0"/>
    <n v="0"/>
  </r>
  <r>
    <m/>
    <m/>
    <m/>
    <m/>
    <s v="Lektori finanszírozás megszüntetése miatti kiadásnövekmény, idei forrás, dologi"/>
    <s v="K"/>
    <n v="142"/>
    <s v="Egyenes adózású ÁFA befizetés"/>
    <m/>
    <n v="0"/>
    <n v="0"/>
    <n v="0"/>
  </r>
  <r>
    <m/>
    <m/>
    <m/>
    <m/>
    <s v="Lektori finanszírozás megszüntetése miatti kiadásnövekmény, idei forrás, dologi"/>
    <s v="K"/>
    <n v="144"/>
    <s v="Külf.pénzért.szóló köt.p.ügy.real.árfoly.veszt."/>
    <m/>
    <n v="0"/>
    <n v="0"/>
    <n v="0"/>
  </r>
  <r>
    <m/>
    <m/>
    <m/>
    <m/>
    <s v="Lektori finanszírozás megszüntetése miatti kiadásnövekmény, idei forrás, dologi"/>
    <s v="K"/>
    <n v="145"/>
    <s v="H. adók.e. vám, illeték és adójell. befiz. ráf."/>
    <m/>
    <n v="0"/>
    <n v="0"/>
    <n v="0"/>
  </r>
  <r>
    <m/>
    <m/>
    <m/>
    <m/>
    <s v="Lektori finanszírozás megszüntetése miatti kiadásnövekmény, idei forrás, dologi"/>
    <s v="K"/>
    <n v="146"/>
    <s v="Díjak, egyéb befiz., ráford. tagsági díjak kiad."/>
    <m/>
    <n v="0"/>
    <n v="0"/>
    <n v="0"/>
  </r>
  <r>
    <m/>
    <m/>
    <m/>
    <m/>
    <s v="Lektori finanszírozás megszüntetése miatti kiadásnövekmény, idei forrás, dologi"/>
    <s v="K"/>
    <n v="147"/>
    <s v="Turizmusfejlesztési hozzájárulás (4%)"/>
    <m/>
    <n v="0"/>
    <n v="0"/>
    <n v="0"/>
  </r>
  <r>
    <m/>
    <m/>
    <m/>
    <m/>
    <s v="Lektori finanszírozás megszüntetése miatti kiadásnövekmény, idei forrás, dologi"/>
    <s v="K"/>
    <n v="148"/>
    <s v="Különféle egyéb dologi kiad. miatti egyéb ráfordítások"/>
    <m/>
    <n v="0"/>
    <n v="0"/>
    <n v="0"/>
  </r>
  <r>
    <m/>
    <m/>
    <m/>
    <m/>
    <s v="Lektori finanszírozás megszüntetése miatti kiadásnövekmény, idei forrás, dologi"/>
    <s v="K"/>
    <n v="149"/>
    <s v="Kollégiumok FK keret fele"/>
    <m/>
    <n v="0"/>
    <n v="0"/>
    <n v="0"/>
  </r>
  <r>
    <s v="5."/>
    <m/>
    <m/>
    <m/>
    <s v="Kötelezően tervezendő műszak, energia, üzemeltetés (közterületesítés nélkül)"/>
    <s v="K2A"/>
    <m/>
    <s v="ÖSSZEGZŐ SOR"/>
    <n v="81117638.814537749"/>
    <n v="0"/>
    <n v="81117638.814537749"/>
    <n v="0"/>
  </r>
  <r>
    <m/>
    <s v="Üzemeltetési dologi kiadások"/>
    <s v="K"/>
    <s v="K2.b."/>
    <s v="Üzemeltetési kiadások, maradvány"/>
    <s v="MK"/>
    <m/>
    <s v="U-s munkaszámokon átfordult maradvány"/>
    <n v="3676627.1907808813"/>
    <n v="0"/>
    <n v="3676627.1907808813"/>
    <n v="0"/>
  </r>
  <r>
    <m/>
    <m/>
    <m/>
    <m/>
    <s v="Üzemeltetési kiadások, idei forrás, összesen"/>
    <m/>
    <m/>
    <s v="ÖSSZEGZŐ SOR"/>
    <n v="77441011.623756871"/>
    <n v="0"/>
    <n v="77441011.623756871"/>
    <n v="0"/>
  </r>
  <r>
    <m/>
    <s v="Üzemeltetési személyi kiadások"/>
    <s v="K"/>
    <s v="K1.b."/>
    <s v="Üzemeltetési kiadások, idei forrás, személyi"/>
    <s v="K"/>
    <m/>
    <s v="7.sz.melléklet szerint külön tervezendő"/>
    <n v="2931707.3893554108"/>
    <n v="0"/>
    <n v="2931707.3893554108"/>
    <n v="0"/>
  </r>
  <r>
    <m/>
    <s v="Üzemeltetési dologi kiadások"/>
    <s v="K"/>
    <s v="K2.b."/>
    <s v="Üzemeltetési kiadások, idei forrás, dologi"/>
    <s v="K"/>
    <m/>
    <s v="7.sz.melléklet szerint külön tervezendő"/>
    <n v="74509304.234401464"/>
    <n v="0"/>
    <n v="74509304.234401464"/>
    <n v="0"/>
  </r>
  <r>
    <s v="7."/>
    <m/>
    <m/>
    <m/>
    <s v="Kötelezően tervezendő informatikai kiadások (elszámolás után)"/>
    <s v="K2A"/>
    <m/>
    <s v="ÖSSZEGZŐ SOR"/>
    <n v="0"/>
    <n v="0"/>
    <n v="0"/>
    <n v="0"/>
  </r>
  <r>
    <m/>
    <s v="Informatikai dologi kiadások"/>
    <s v="K"/>
    <s v="K2.d."/>
    <s v="Informatikai kiadások, maradvány"/>
    <s v="MK"/>
    <m/>
    <s v="negatív esetén forrásátadás"/>
    <n v="0"/>
    <n v="0"/>
    <n v="0"/>
    <n v="0"/>
  </r>
  <r>
    <m/>
    <m/>
    <m/>
    <m/>
    <s v="Informatikai kiadások, idei forrás, összesen"/>
    <m/>
    <m/>
    <s v="ÖSSZEGZŐ SOR"/>
    <n v="0"/>
    <n v="0"/>
    <n v="0"/>
    <n v="0"/>
  </r>
  <r>
    <m/>
    <s v="Informatikai személyi kiadások"/>
    <s v="K"/>
    <s v="K1.c."/>
    <s v="Informatikai kiadások, idei forrás, személyi"/>
    <s v="K"/>
    <m/>
    <s v="12.sz.melléklet szerint külön tervezendő"/>
    <n v="0"/>
    <n v="0"/>
    <n v="0"/>
    <n v="0"/>
  </r>
  <r>
    <m/>
    <s v="Informatikai dologi kiadások"/>
    <s v="K"/>
    <s v="K2.d."/>
    <s v="Informatikai kiadások, idei forrás, dologi"/>
    <s v="K"/>
    <m/>
    <s v="12.sz.melléklet szerint külön tervezendő"/>
    <n v="0"/>
    <n v="0"/>
    <n v="0"/>
    <n v="0"/>
  </r>
  <r>
    <s v="8."/>
    <s v="Kötelezően tervezendő telefonköltség (2020. évi elszámolás összege alapján)"/>
    <s v="K"/>
    <s v="K2.e."/>
    <s v="Kötelezően tervezendő telefonköltség (2020. évi elszámolás összege alapján)"/>
    <s v="K2A"/>
    <m/>
    <s v="ÖSSZEGZŐ SOR"/>
    <n v="51421"/>
    <n v="35994.700000000004"/>
    <n v="15426.299999999996"/>
    <n v="35994.700000000004"/>
  </r>
  <r>
    <m/>
    <m/>
    <m/>
    <m/>
    <s v="Telefonköltség, maradvány"/>
    <s v="MK"/>
    <m/>
    <s v="MARADVÁNY"/>
    <n v="51421"/>
    <n v="35994.700000000004"/>
    <n v="15426.299999999996"/>
    <n v="35994.700000000004"/>
  </r>
  <r>
    <m/>
    <m/>
    <m/>
    <m/>
    <s v="Telefonköltség, idei forrás"/>
    <s v="K"/>
    <m/>
    <s v="idei forrás ÖSSZESEN: töltendő, ha nincs alábontás"/>
    <m/>
    <n v="0"/>
    <n v="0"/>
    <n v="0"/>
  </r>
  <r>
    <m/>
    <m/>
    <m/>
    <m/>
    <s v="Telefonköltség, idei forrás"/>
    <s v="K"/>
    <n v="63"/>
    <s v="Kifizetői 15,5 %-os SZOCHO"/>
    <m/>
    <n v="0"/>
    <n v="0"/>
    <n v="0"/>
  </r>
  <r>
    <m/>
    <m/>
    <m/>
    <m/>
    <s v="Telefonköltség, idei forrás"/>
    <s v="K"/>
    <n v="64"/>
    <s v="Kifizető által fizetett SZJA"/>
    <m/>
    <n v="0"/>
    <n v="0"/>
    <n v="0"/>
  </r>
  <r>
    <m/>
    <m/>
    <m/>
    <m/>
    <s v="Telefonköltség, idei forrás"/>
    <s v="K"/>
    <n v="92"/>
    <s v="Nem adatátviteli célú távközlési díjak"/>
    <m/>
    <n v="0"/>
    <n v="0"/>
    <n v="0"/>
  </r>
  <r>
    <m/>
    <m/>
    <m/>
    <m/>
    <s v="Telefonköltség, idei forrás"/>
    <s v="K"/>
    <n v="142"/>
    <s v="Egyenes adózású ÁFA befizetés"/>
    <m/>
    <n v="0"/>
    <n v="0"/>
    <n v="0"/>
  </r>
  <r>
    <s v="10."/>
    <s v="Dologi kiadások (üzemeltetetés és informatika nélkül)"/>
    <s v="K"/>
    <s v="K2.a. "/>
    <s v="Dologi kiadások"/>
    <s v="K2A"/>
    <m/>
    <s v="ÖSSZEGZŐ SOR"/>
    <n v="22424327"/>
    <n v="0"/>
    <n v="22424327"/>
    <n v="0"/>
  </r>
  <r>
    <m/>
    <m/>
    <m/>
    <m/>
    <s v="Dologi kiadások, maradvány"/>
    <s v="MK"/>
    <m/>
    <s v="MARADVÁNY"/>
    <n v="22424327"/>
    <n v="0"/>
    <n v="22424327"/>
    <n v="0"/>
  </r>
  <r>
    <m/>
    <m/>
    <m/>
    <m/>
    <s v="Dologi kiadások, idei forrás"/>
    <s v="K"/>
    <m/>
    <s v="idei forrás ÖSSZESEN: töltendő, ha nincs alábontás"/>
    <m/>
    <n v="0"/>
    <n v="0"/>
    <n v="0"/>
  </r>
  <r>
    <m/>
    <m/>
    <m/>
    <m/>
    <s v="Dologi kiadások"/>
    <s v="K"/>
    <n v="67"/>
    <s v="Gyógyszerbeszerzés"/>
    <m/>
    <n v="0"/>
    <n v="0"/>
    <n v="0"/>
  </r>
  <r>
    <m/>
    <m/>
    <m/>
    <m/>
    <s v="Dologi kiadások"/>
    <s v="K"/>
    <n v="68"/>
    <s v="Vegyszerbeszerzés"/>
    <m/>
    <n v="0"/>
    <n v="0"/>
    <n v="0"/>
  </r>
  <r>
    <m/>
    <m/>
    <m/>
    <m/>
    <s v="Dologi kiadások"/>
    <s v="K"/>
    <n v="69"/>
    <s v="Egyéb szakmai anyagbeszerzés"/>
    <m/>
    <n v="0"/>
    <n v="0"/>
    <n v="0"/>
  </r>
  <r>
    <m/>
    <m/>
    <m/>
    <m/>
    <s v="Dologi kiadások"/>
    <s v="K"/>
    <n v="70"/>
    <s v="Könyvbeszerzés (5% ÁFA)"/>
    <m/>
    <n v="0"/>
    <n v="0"/>
    <n v="0"/>
  </r>
  <r>
    <m/>
    <m/>
    <m/>
    <m/>
    <s v="Dologi kiadások"/>
    <s v="K"/>
    <n v="71"/>
    <s v="Egy éven belül elhasználódó szakmai anyag"/>
    <m/>
    <n v="0"/>
    <n v="0"/>
    <n v="0"/>
  </r>
  <r>
    <m/>
    <m/>
    <m/>
    <m/>
    <s v="Dologi kiadások"/>
    <s v="K"/>
    <n v="73"/>
    <s v="Irodaszer. sokszorosítási. számítástechnikai anyagok"/>
    <m/>
    <n v="0"/>
    <n v="0"/>
    <n v="0"/>
  </r>
  <r>
    <m/>
    <m/>
    <m/>
    <m/>
    <s v="Dologi kiadások"/>
    <s v="K"/>
    <n v="74"/>
    <s v="Nyomtatvány beszerzés"/>
    <m/>
    <n v="0"/>
    <n v="0"/>
    <n v="0"/>
  </r>
  <r>
    <m/>
    <m/>
    <m/>
    <m/>
    <s v="Dologi kiadások"/>
    <s v="K"/>
    <n v="75"/>
    <s v="Hajtó- és kenőanyag beszerzése"/>
    <m/>
    <n v="0"/>
    <n v="0"/>
    <n v="0"/>
  </r>
  <r>
    <m/>
    <m/>
    <m/>
    <m/>
    <s v="Dologi kiadások"/>
    <s v="K"/>
    <n v="76"/>
    <s v="Munka-. védő- és formaruha beszerzés"/>
    <m/>
    <n v="0"/>
    <n v="0"/>
    <n v="0"/>
  </r>
  <r>
    <m/>
    <m/>
    <m/>
    <m/>
    <s v="Dologi kiadások"/>
    <s v="K"/>
    <n v="77"/>
    <s v="Karbantartási anyagok. alkatrészek.szerszámok beszerz"/>
    <m/>
    <n v="0"/>
    <n v="0"/>
    <n v="0"/>
  </r>
  <r>
    <m/>
    <m/>
    <m/>
    <m/>
    <s v="Dologi kiadások"/>
    <s v="K"/>
    <n v="78"/>
    <s v="Bútorok.berend..felszer. tárgyak. textíliák beszerz."/>
    <m/>
    <n v="0"/>
    <n v="0"/>
    <n v="0"/>
  </r>
  <r>
    <m/>
    <m/>
    <m/>
    <m/>
    <s v="Dologi kiadások"/>
    <s v="K"/>
    <n v="79"/>
    <s v="Tisztítószerek. tisztálkodási szerek beszerzése"/>
    <m/>
    <n v="0"/>
    <n v="0"/>
    <n v="0"/>
  </r>
  <r>
    <m/>
    <m/>
    <m/>
    <m/>
    <s v="Dologi kiadások"/>
    <s v="K"/>
    <n v="80"/>
    <s v="Számítástechnikai alkatrészek.készletek beszerzése"/>
    <m/>
    <n v="0"/>
    <n v="0"/>
    <n v="0"/>
  </r>
  <r>
    <m/>
    <m/>
    <m/>
    <m/>
    <s v="Dologi kiadások"/>
    <s v="K"/>
    <n v="81"/>
    <s v="Egyéb készletbeszerzés"/>
    <m/>
    <n v="0"/>
    <n v="0"/>
    <n v="0"/>
  </r>
  <r>
    <m/>
    <m/>
    <m/>
    <m/>
    <s v="Dologi kiadások"/>
    <s v="K"/>
    <n v="84"/>
    <s v="Számítástechnikai oktatási szolg."/>
    <m/>
    <n v="0"/>
    <n v="0"/>
    <n v="0"/>
  </r>
  <r>
    <m/>
    <m/>
    <m/>
    <m/>
    <s v="Dologi kiadások"/>
    <s v="K"/>
    <n v="85"/>
    <s v="Inform.eszközök, szolg.bérlet,lízingelés ktg."/>
    <m/>
    <n v="0"/>
    <n v="0"/>
    <n v="0"/>
  </r>
  <r>
    <m/>
    <m/>
    <m/>
    <m/>
    <s v="Dologi kiadások"/>
    <s v="K"/>
    <n v="86"/>
    <s v="Informatikai eszközök karbantartása. kisjav."/>
    <m/>
    <n v="0"/>
    <n v="0"/>
    <n v="0"/>
  </r>
  <r>
    <m/>
    <m/>
    <m/>
    <m/>
    <s v="Dologi kiadások"/>
    <s v="K"/>
    <n v="87"/>
    <s v="Adatfeldolgozási szolgáltatások"/>
    <m/>
    <n v="0"/>
    <n v="0"/>
    <n v="0"/>
  </r>
  <r>
    <m/>
    <m/>
    <m/>
    <m/>
    <s v="Dologi kiadások"/>
    <s v="K"/>
    <n v="88"/>
    <s v="Adatátviteli célú távközlési díjak"/>
    <m/>
    <n v="0"/>
    <n v="0"/>
    <n v="0"/>
  </r>
  <r>
    <m/>
    <m/>
    <m/>
    <m/>
    <s v="Dologi kiadások"/>
    <s v="K"/>
    <n v="90"/>
    <s v="TV előfizetési díj"/>
    <m/>
    <n v="0"/>
    <n v="0"/>
    <n v="0"/>
  </r>
  <r>
    <m/>
    <m/>
    <m/>
    <m/>
    <s v="Dologi kiadások"/>
    <s v="K"/>
    <n v="91"/>
    <s v="Egyéb kommunikációs szolgáltatások"/>
    <m/>
    <n v="0"/>
    <n v="0"/>
    <n v="0"/>
  </r>
  <r>
    <m/>
    <m/>
    <m/>
    <m/>
    <s v="Dologi kiadások"/>
    <s v="K"/>
    <n v="92"/>
    <s v="Nem adatátviteli célú távközlési díjak"/>
    <m/>
    <n v="0"/>
    <n v="0"/>
    <n v="0"/>
  </r>
  <r>
    <m/>
    <m/>
    <m/>
    <m/>
    <s v="Dologi kiadások"/>
    <s v="K"/>
    <n v="93"/>
    <s v="Nem járulékköteles távközlési díj"/>
    <m/>
    <n v="0"/>
    <n v="0"/>
    <n v="0"/>
  </r>
  <r>
    <m/>
    <m/>
    <m/>
    <m/>
    <s v="Dologi kiadások"/>
    <s v="K"/>
    <n v="96"/>
    <s v="Villamosenergia szolgáltatás díja"/>
    <m/>
    <n v="0"/>
    <n v="0"/>
    <n v="0"/>
  </r>
  <r>
    <m/>
    <m/>
    <m/>
    <m/>
    <s v="Dologi kiadások"/>
    <s v="K"/>
    <n v="97"/>
    <s v="Gázenergia szolgáltatás díja"/>
    <m/>
    <n v="0"/>
    <n v="0"/>
    <n v="0"/>
  </r>
  <r>
    <m/>
    <m/>
    <m/>
    <m/>
    <s v="Dologi kiadások"/>
    <s v="K"/>
    <n v="98"/>
    <s v="Távhő és melegvíz szolgáltatás díja"/>
    <m/>
    <n v="0"/>
    <n v="0"/>
    <n v="0"/>
  </r>
  <r>
    <m/>
    <m/>
    <m/>
    <m/>
    <s v="Dologi kiadások"/>
    <s v="K"/>
    <n v="99"/>
    <s v="Víz- és csatornadíjak"/>
    <m/>
    <n v="0"/>
    <n v="0"/>
    <n v="0"/>
  </r>
  <r>
    <m/>
    <m/>
    <m/>
    <m/>
    <s v="Dologi kiadások"/>
    <s v="K"/>
    <n v="100"/>
    <s v="ÁFA mentes villamosenergia szolgáltatás díja"/>
    <m/>
    <n v="0"/>
    <n v="0"/>
    <n v="0"/>
  </r>
  <r>
    <m/>
    <m/>
    <m/>
    <m/>
    <s v="Dologi kiadások"/>
    <s v="K"/>
    <n v="102"/>
    <s v="Vásárolt élelmezés"/>
    <m/>
    <n v="0"/>
    <n v="0"/>
    <n v="0"/>
  </r>
  <r>
    <m/>
    <m/>
    <m/>
    <m/>
    <s v="Dologi kiadások"/>
    <s v="K"/>
    <n v="104"/>
    <s v="PPP szolgáltatás"/>
    <m/>
    <n v="0"/>
    <n v="0"/>
    <n v="0"/>
  </r>
  <r>
    <m/>
    <m/>
    <m/>
    <m/>
    <s v="Dologi kiadások"/>
    <s v="K"/>
    <n v="105"/>
    <s v="Egyéb kül. bérleti és lízing díjak (PPP nélkül)"/>
    <m/>
    <n v="0"/>
    <n v="0"/>
    <n v="0"/>
  </r>
  <r>
    <m/>
    <m/>
    <m/>
    <m/>
    <s v="Dologi kiadások"/>
    <s v="K"/>
    <n v="106"/>
    <s v="Ingatlan bérleti díj költségei (Áfa mentes)"/>
    <m/>
    <n v="0"/>
    <n v="0"/>
    <n v="0"/>
  </r>
  <r>
    <m/>
    <m/>
    <m/>
    <m/>
    <s v="Dologi kiadások"/>
    <s v="K"/>
    <n v="108"/>
    <s v="Ingatlanok karbantartása. kisjavítása"/>
    <m/>
    <n v="0"/>
    <n v="0"/>
    <n v="0"/>
  </r>
  <r>
    <m/>
    <m/>
    <m/>
    <m/>
    <s v="Dologi kiadások"/>
    <s v="K"/>
    <n v="109"/>
    <s v="Gépek berendezések karbantartása, kisjavítása ktg."/>
    <m/>
    <n v="0"/>
    <n v="0"/>
    <n v="0"/>
  </r>
  <r>
    <m/>
    <m/>
    <m/>
    <m/>
    <s v="Dologi kiadások"/>
    <s v="K"/>
    <n v="110"/>
    <s v="Járművekkel kapcsolatos karbantartási, kisjav. kiadások"/>
    <m/>
    <n v="0"/>
    <n v="0"/>
    <n v="0"/>
  </r>
  <r>
    <m/>
    <m/>
    <m/>
    <m/>
    <s v="Dologi kiadások"/>
    <s v="K"/>
    <n v="112"/>
    <s v="AHT-n belüli közvetített szolgáltatások"/>
    <m/>
    <n v="0"/>
    <n v="0"/>
    <n v="0"/>
  </r>
  <r>
    <m/>
    <m/>
    <m/>
    <m/>
    <s v="Dologi kiadások"/>
    <s v="K"/>
    <n v="113"/>
    <s v="AHT-n kívüli közvetített szolgáltatások"/>
    <m/>
    <n v="0"/>
    <n v="0"/>
    <n v="0"/>
  </r>
  <r>
    <m/>
    <m/>
    <m/>
    <m/>
    <s v="Dologi kiadások"/>
    <s v="K"/>
    <n v="115"/>
    <s v="Vásárolt közszolgáltatások (pld. egészségügyi)"/>
    <m/>
    <n v="0"/>
    <n v="0"/>
    <n v="0"/>
  </r>
  <r>
    <m/>
    <m/>
    <m/>
    <m/>
    <s v="Dologi kiadások"/>
    <s v="K"/>
    <n v="116"/>
    <s v="Jogi szolgáltatások"/>
    <m/>
    <n v="0"/>
    <n v="0"/>
    <n v="0"/>
  </r>
  <r>
    <m/>
    <m/>
    <m/>
    <m/>
    <s v="Dologi kiadások"/>
    <s v="K"/>
    <n v="117"/>
    <s v="Számlázott (okt..kut.)szellemi tev.kiad."/>
    <m/>
    <n v="0"/>
    <n v="0"/>
    <n v="0"/>
  </r>
  <r>
    <m/>
    <m/>
    <m/>
    <m/>
    <s v="Dologi kiadások"/>
    <s v="K"/>
    <n v="118"/>
    <s v="Szakmai szolgáltatások"/>
    <m/>
    <n v="0"/>
    <n v="0"/>
    <n v="0"/>
  </r>
  <r>
    <m/>
    <m/>
    <m/>
    <m/>
    <s v="Dologi kiadások"/>
    <s v="K"/>
    <n v="119"/>
    <s v="Sport és kulturális szolgáltatás"/>
    <m/>
    <n v="0"/>
    <n v="0"/>
    <n v="0"/>
  </r>
  <r>
    <m/>
    <m/>
    <m/>
    <m/>
    <s v="Dologi kiadások"/>
    <s v="K"/>
    <n v="120"/>
    <s v="Tanfolyamok. továbbképzések"/>
    <m/>
    <n v="0"/>
    <n v="0"/>
    <n v="0"/>
  </r>
  <r>
    <m/>
    <m/>
    <m/>
    <m/>
    <s v="Dologi kiadások"/>
    <s v="K"/>
    <n v="122"/>
    <s v="Egyéb pénzügyi szoltáltatások (bankktg.)"/>
    <m/>
    <n v="0"/>
    <n v="0"/>
    <n v="0"/>
  </r>
  <r>
    <m/>
    <m/>
    <m/>
    <m/>
    <s v="Dologi kiadások"/>
    <s v="K"/>
    <n v="123"/>
    <s v="Anyag- és áruszállítás költségei"/>
    <m/>
    <n v="0"/>
    <n v="0"/>
    <n v="0"/>
  </r>
  <r>
    <m/>
    <m/>
    <m/>
    <m/>
    <s v="Dologi kiadások"/>
    <s v="K"/>
    <n v="124"/>
    <s v="Egyéb szállítás költségei"/>
    <m/>
    <n v="0"/>
    <n v="0"/>
    <n v="0"/>
  </r>
  <r>
    <m/>
    <m/>
    <m/>
    <m/>
    <s v="Dologi kiadások"/>
    <s v="K"/>
    <n v="125"/>
    <s v="Postai levél. csomag. feladott távirat"/>
    <m/>
    <n v="0"/>
    <n v="0"/>
    <n v="0"/>
  </r>
  <r>
    <m/>
    <m/>
    <m/>
    <m/>
    <s v="Dologi kiadások"/>
    <s v="K"/>
    <n v="126"/>
    <s v="Takarítás"/>
    <m/>
    <n v="0"/>
    <n v="0"/>
    <n v="0"/>
  </r>
  <r>
    <m/>
    <m/>
    <m/>
    <m/>
    <s v="Dologi kiadások"/>
    <s v="K"/>
    <n v="127"/>
    <s v="Rovarirtás"/>
    <m/>
    <n v="0"/>
    <n v="0"/>
    <n v="0"/>
  </r>
  <r>
    <m/>
    <m/>
    <m/>
    <m/>
    <s v="Dologi kiadások"/>
    <s v="K"/>
    <n v="128"/>
    <s v="Kommunális hulladék szállítási költségei"/>
    <m/>
    <n v="0"/>
    <n v="0"/>
    <n v="0"/>
  </r>
  <r>
    <m/>
    <m/>
    <m/>
    <m/>
    <s v="Dologi kiadások"/>
    <s v="K"/>
    <n v="129"/>
    <s v="Kéményseprési díjak költségei"/>
    <m/>
    <n v="0"/>
    <n v="0"/>
    <n v="0"/>
  </r>
  <r>
    <m/>
    <m/>
    <m/>
    <m/>
    <s v="Dologi kiadások"/>
    <s v="K"/>
    <n v="130"/>
    <s v="Nyomdai költség"/>
    <m/>
    <n v="0"/>
    <n v="0"/>
    <n v="0"/>
  </r>
  <r>
    <m/>
    <m/>
    <m/>
    <m/>
    <s v="Dologi kiadások"/>
    <s v="K"/>
    <n v="131"/>
    <s v="Ingatlanok üzemelt. fenntartási kiad."/>
    <m/>
    <n v="0"/>
    <n v="0"/>
    <n v="0"/>
  </r>
  <r>
    <m/>
    <m/>
    <m/>
    <m/>
    <s v="Dologi kiadások"/>
    <s v="K"/>
    <n v="132"/>
    <s v="Egyéb üzemelt. Kiadások (mosás, rakodás)"/>
    <m/>
    <n v="0"/>
    <n v="0"/>
    <n v="0"/>
  </r>
  <r>
    <m/>
    <m/>
    <m/>
    <m/>
    <s v="Dologi kiadások"/>
    <s v="K"/>
    <n v="133"/>
    <s v="Egyéb más jellegű szolg. Költségei (audit, ell.)"/>
    <m/>
    <n v="0"/>
    <n v="0"/>
    <n v="0"/>
  </r>
  <r>
    <m/>
    <m/>
    <m/>
    <m/>
    <s v="Dologi kiadások"/>
    <s v="K"/>
    <n v="134"/>
    <s v="Biztosítási díj (központilag fizetett vagyonbiztosítás)"/>
    <m/>
    <n v="0"/>
    <n v="0"/>
    <n v="0"/>
  </r>
  <r>
    <m/>
    <m/>
    <m/>
    <m/>
    <s v="Dologi kiadások"/>
    <s v="K"/>
    <n v="137"/>
    <s v="Külföldi kiküldetések kiadásai"/>
    <m/>
    <n v="0"/>
    <n v="0"/>
    <n v="0"/>
  </r>
  <r>
    <m/>
    <m/>
    <m/>
    <m/>
    <s v="Dologi kiadások"/>
    <s v="K"/>
    <n v="138"/>
    <s v="Belföldi kiküldetések kiadásai"/>
    <m/>
    <n v="0"/>
    <n v="0"/>
    <n v="0"/>
  </r>
  <r>
    <m/>
    <m/>
    <m/>
    <m/>
    <s v="Dologi kiadások"/>
    <s v="K"/>
    <n v="139"/>
    <s v="Reklám- és propaganda költségei"/>
    <m/>
    <n v="0"/>
    <n v="0"/>
    <n v="0"/>
  </r>
  <r>
    <m/>
    <m/>
    <m/>
    <m/>
    <s v="Dologi kiadások"/>
    <s v="K"/>
    <n v="141"/>
    <s v="Nem levonható egyenes adós ÁFA anyag, szolg."/>
    <m/>
    <n v="0"/>
    <n v="0"/>
    <n v="0"/>
  </r>
  <r>
    <m/>
    <m/>
    <m/>
    <m/>
    <s v="Dologi kiadások"/>
    <s v="K"/>
    <n v="142"/>
    <s v="Egyenes adózású ÁFA befizetés"/>
    <m/>
    <n v="0"/>
    <n v="0"/>
    <n v="0"/>
  </r>
  <r>
    <m/>
    <m/>
    <m/>
    <m/>
    <s v="Dologi kiadások"/>
    <s v="K"/>
    <n v="144"/>
    <s v="Külf.pénzért.szóló köt.p.ügy.real.árfoly.veszt."/>
    <m/>
    <n v="0"/>
    <n v="0"/>
    <n v="0"/>
  </r>
  <r>
    <m/>
    <m/>
    <m/>
    <m/>
    <s v="Dologi kiadások"/>
    <s v="K"/>
    <n v="145"/>
    <s v="H. adók.e. vám, illeték és adójell. befiz. ráf."/>
    <m/>
    <n v="0"/>
    <n v="0"/>
    <n v="0"/>
  </r>
  <r>
    <m/>
    <m/>
    <m/>
    <m/>
    <s v="Dologi kiadások"/>
    <s v="K"/>
    <n v="146"/>
    <s v="Díjak, egyéb befiz., ráford. tagsági díjak kiad."/>
    <m/>
    <n v="0"/>
    <n v="0"/>
    <n v="0"/>
  </r>
  <r>
    <m/>
    <m/>
    <m/>
    <m/>
    <s v="Dologi kiadások"/>
    <s v="K"/>
    <n v="147"/>
    <s v="Turizmusfejlesztési hozzájárulás (4%)"/>
    <m/>
    <n v="0"/>
    <n v="0"/>
    <n v="0"/>
  </r>
  <r>
    <m/>
    <m/>
    <m/>
    <m/>
    <s v="Dologi kiadások"/>
    <s v="K"/>
    <n v="148"/>
    <s v="Különféle egyéb dologi kiad. miatti egyéb ráfordítások"/>
    <m/>
    <n v="0"/>
    <n v="0"/>
    <n v="0"/>
  </r>
  <r>
    <m/>
    <m/>
    <m/>
    <m/>
    <s v="Dologi kiadások"/>
    <s v="K"/>
    <n v="149"/>
    <s v="Kollégiumok FK keret fele"/>
    <m/>
    <n v="0"/>
    <n v="0"/>
    <n v="0"/>
  </r>
  <r>
    <s v="11."/>
    <m/>
    <m/>
    <m/>
    <s v="Szakmai gyakorlatok és terepgyakorlatok (2020. évi igény alapján)"/>
    <s v="K2A"/>
    <m/>
    <s v="ÖSSZEGZŐ SOR"/>
    <n v="308000"/>
    <n v="215600.00000000003"/>
    <n v="92399.999999999971"/>
    <n v="215600.00000000003"/>
  </r>
  <r>
    <m/>
    <m/>
    <m/>
    <m/>
    <s v="Szakmai gyakorlatok és terepgyakorlatok kiadásai, maradvány, összesen"/>
    <m/>
    <m/>
    <s v="ÖSSZEGZŐ SOR"/>
    <n v="0"/>
    <n v="0"/>
    <n v="0"/>
    <n v="0"/>
  </r>
  <r>
    <m/>
    <s v="Személyi kiadások (üzemeltetetés és informatika nélkül)"/>
    <s v="K"/>
    <s v="K1.a."/>
    <s v="Szakmai gyakorlatok és terepgyakorlatok kiadásai, maradvány, személyi"/>
    <s v="MK"/>
    <m/>
    <s v="MARADVÁNY"/>
    <m/>
    <n v="0"/>
    <n v="0"/>
    <n v="0"/>
  </r>
  <r>
    <m/>
    <s v="Dologi kiadások (üzemeltetetés és informatika nélkül)"/>
    <s v="K"/>
    <s v="K2.a. "/>
    <s v="Szakmai gyakorlatok és terepgyakorlatok kiadásai, maradvány, dologi"/>
    <s v="MK"/>
    <m/>
    <s v="MARADVÁNY"/>
    <m/>
    <n v="0"/>
    <n v="0"/>
    <n v="0"/>
  </r>
  <r>
    <m/>
    <m/>
    <m/>
    <m/>
    <s v="Szakmai gyakorlatok és terepgyakorlatok kiadásai, idei forrás, összesen"/>
    <m/>
    <m/>
    <s v="ÖSSZEGZŐ SOR"/>
    <n v="308000"/>
    <n v="215600.00000000003"/>
    <n v="92399.999999999971"/>
    <n v="215600.00000000003"/>
  </r>
  <r>
    <m/>
    <s v="Személyi kiadások (üzemeltetetés és informatika nélkül)"/>
    <s v="K"/>
    <s v="K1.a."/>
    <s v="Szakmai gyakorlatok és terepgyakorlatok kiadásai, idei forrás, személyi"/>
    <s v="K"/>
    <m/>
    <s v="űrlapsor szerinti bontás külön tervezendő"/>
    <m/>
    <n v="0"/>
    <n v="0"/>
    <n v="0"/>
  </r>
  <r>
    <m/>
    <s v="Dologi kiadások (üzemeltetetés és informatika nélkül)"/>
    <s v="K"/>
    <s v="K2.a. "/>
    <s v="Szakmai gyakorlatok és terepgyakorlatok kiadásai, idei forrás, dologi"/>
    <s v="K"/>
    <m/>
    <s v="űrlapsor szerinti bontás külön tervezendő"/>
    <n v="308000"/>
    <n v="215600.00000000003"/>
    <n v="92399.999999999971"/>
    <n v="215600.00000000003"/>
  </r>
  <r>
    <s v="12."/>
    <s v="Kiválósági ösztöndíjhoz hozzájárulás (-6,1mFt maradvány, 2020/21 II. és 2021/22 I. félév tanév becsült adatai alapján"/>
    <s v="K"/>
    <m/>
    <s v="Kiválósági ösztöndíjhoz hozzájárulás (-6,1mFt maradvány, 2020/21 II. és 2021/22 I. félév tanév becsült adatai alapján"/>
    <s v="K2A"/>
    <m/>
    <m/>
    <n v="0"/>
    <m/>
    <m/>
    <m/>
  </r>
  <r>
    <m/>
    <m/>
    <m/>
    <m/>
    <m/>
    <m/>
    <m/>
    <m/>
    <m/>
    <m/>
    <m/>
    <m/>
  </r>
  <r>
    <m/>
    <m/>
    <m/>
    <m/>
    <m/>
    <m/>
    <m/>
    <m/>
    <m/>
    <m/>
    <m/>
    <m/>
  </r>
  <r>
    <s v="13."/>
    <m/>
    <m/>
    <m/>
    <s v="Kari kiválósági kiadások"/>
    <s v="K2A"/>
    <m/>
    <s v="ÖSSZEGZŐ SOR"/>
    <n v="16772127.758422859"/>
    <n v="0"/>
    <n v="16772127.758422859"/>
    <n v="0"/>
  </r>
  <r>
    <m/>
    <m/>
    <m/>
    <m/>
    <s v="Kari kiválósági kiadások, maradvány"/>
    <s v="MK"/>
    <m/>
    <s v="MARADVÁNY"/>
    <n v="10497387"/>
    <n v="0"/>
    <n v="10497387"/>
    <n v="0"/>
  </r>
  <r>
    <m/>
    <s v="Kari kiválósági személyi kiadások"/>
    <s v="K"/>
    <s v="K1.d. "/>
    <s v="Kari kiválósági személyi kiadások, maradvány"/>
    <m/>
    <m/>
    <m/>
    <n v="8497387"/>
    <n v="0"/>
    <n v="8497387"/>
    <n v="0"/>
  </r>
  <r>
    <m/>
    <s v="Kari kiválósági dologi kiadások"/>
    <s v="K"/>
    <s v="K2.f."/>
    <s v="Kari kiválósági dologi kiadások, maradvány"/>
    <m/>
    <m/>
    <m/>
    <n v="2000000"/>
    <n v="0"/>
    <n v="2000000"/>
    <n v="0"/>
  </r>
  <r>
    <m/>
    <m/>
    <m/>
    <m/>
    <s v="Kari kiválósági kiadások, idei forrás összesen"/>
    <s v="K"/>
    <m/>
    <s v="ÖSSZEGZŐ SOR"/>
    <n v="6274740.758422859"/>
    <n v="0"/>
    <n v="6274740.758422859"/>
    <n v="0"/>
  </r>
  <r>
    <m/>
    <s v="Kari kiválósági személyi kiadások"/>
    <s v="K"/>
    <s v="K1.d. "/>
    <s v="Kari kiválósági személyi kiadások, idei forrás"/>
    <m/>
    <m/>
    <s v="idei forrás ÖSSZESEN: töltendő, ha nincs alábontás"/>
    <n v="5647266.6825805735"/>
    <n v="0"/>
    <n v="5647266.6825805735"/>
    <n v="0"/>
  </r>
  <r>
    <m/>
    <m/>
    <m/>
    <m/>
    <s v="Kari kiválósági személyi kiadások"/>
    <s v="K"/>
    <n v="14"/>
    <s v="Oktatók alapilletményei"/>
    <m/>
    <n v="0"/>
    <n v="0"/>
    <n v="0"/>
  </r>
  <r>
    <m/>
    <m/>
    <m/>
    <m/>
    <s v="Kari kiválósági személyi kiadások"/>
    <s v="K"/>
    <n v="15"/>
    <s v="Kutatók alapilletményei"/>
    <m/>
    <n v="0"/>
    <n v="0"/>
    <n v="0"/>
  </r>
  <r>
    <m/>
    <m/>
    <m/>
    <m/>
    <s v="Kari kiválósági személyi kiadások"/>
    <s v="K"/>
    <n v="16"/>
    <s v="Működést támogató közalkalmazottak alapilletményei"/>
    <m/>
    <n v="0"/>
    <n v="0"/>
    <n v="0"/>
  </r>
  <r>
    <m/>
    <m/>
    <m/>
    <m/>
    <s v="Kari kiválósági személyi kiadások"/>
    <s v="K"/>
    <n v="17"/>
    <s v="ALAPILLETMÉNY ÖSSZESEN"/>
    <m/>
    <n v="0"/>
    <n v="0"/>
    <n v="0"/>
  </r>
  <r>
    <m/>
    <m/>
    <m/>
    <m/>
    <s v="Kari kiválósági személyi kiadások"/>
    <s v="K"/>
    <n v="18"/>
    <s v="Illetménykiegészítés"/>
    <m/>
    <n v="0"/>
    <n v="0"/>
    <n v="0"/>
  </r>
  <r>
    <m/>
    <m/>
    <m/>
    <m/>
    <s v="Kari kiválósági személyi kiadások"/>
    <s v="K"/>
    <n v="19"/>
    <s v="Nyelvpótlék"/>
    <m/>
    <n v="0"/>
    <n v="0"/>
    <n v="0"/>
  </r>
  <r>
    <m/>
    <m/>
    <m/>
    <m/>
    <s v="Kari kiválósági személyi kiadások"/>
    <s v="K"/>
    <n v="20"/>
    <s v="Egyéb kötelező illetménypótlékok"/>
    <m/>
    <n v="0"/>
    <n v="0"/>
    <n v="0"/>
  </r>
  <r>
    <m/>
    <m/>
    <m/>
    <m/>
    <s v="Kari kiválósági személyi kiadások"/>
    <s v="K"/>
    <n v="21"/>
    <s v="Egyéb feltételtől függő pótlékok és juttatások"/>
    <m/>
    <n v="0"/>
    <n v="0"/>
    <n v="0"/>
  </r>
  <r>
    <m/>
    <m/>
    <m/>
    <m/>
    <s v="Kari kiválósági személyi kiadások"/>
    <s v="K"/>
    <n v="22"/>
    <s v="Rendszeres keresetkiegészítés"/>
    <m/>
    <n v="0"/>
    <n v="0"/>
    <n v="0"/>
  </r>
  <r>
    <m/>
    <m/>
    <m/>
    <m/>
    <s v="Kari kiválósági személyi kiadások"/>
    <s v="K"/>
    <n v="23"/>
    <s v="Eseti keresetkiegészítés"/>
    <m/>
    <n v="0"/>
    <n v="0"/>
    <n v="0"/>
  </r>
  <r>
    <m/>
    <m/>
    <m/>
    <m/>
    <s v="Kari kiválósági személyi kiadások"/>
    <s v="K"/>
    <n v="24"/>
    <s v="Egyéb juttatások kiadásai"/>
    <m/>
    <n v="0"/>
    <n v="0"/>
    <n v="0"/>
  </r>
  <r>
    <m/>
    <m/>
    <m/>
    <m/>
    <s v="Kari kiválósági személyi kiadások"/>
    <s v="K"/>
    <n v="25"/>
    <s v="Hallgatói munkadíjak"/>
    <m/>
    <n v="0"/>
    <n v="0"/>
    <n v="0"/>
  </r>
  <r>
    <m/>
    <m/>
    <m/>
    <m/>
    <s v="Kari kiválósági személyi kiadások"/>
    <s v="K"/>
    <n v="26"/>
    <s v="Üres álláshelyekre tervezett illetmény (okt+kut+egyéb+hallg)"/>
    <m/>
    <n v="0"/>
    <n v="0"/>
    <n v="0"/>
  </r>
  <r>
    <m/>
    <m/>
    <m/>
    <m/>
    <s v="Kari kiválósági személyi kiadások"/>
    <s v="K"/>
    <n v="30"/>
    <s v="Céljuttatás, projektprémium"/>
    <m/>
    <n v="0"/>
    <n v="0"/>
    <n v="0"/>
  </r>
  <r>
    <m/>
    <m/>
    <m/>
    <m/>
    <s v="Kari kiválósági személyi kiadások"/>
    <s v="K"/>
    <n v="31"/>
    <s v="Készenlét. ügyelet. helyettesítési díj, túlóra"/>
    <m/>
    <n v="0"/>
    <n v="0"/>
    <n v="0"/>
  </r>
  <r>
    <m/>
    <m/>
    <m/>
    <m/>
    <s v="Kari kiválósági személyi kiadások"/>
    <s v="K"/>
    <n v="32"/>
    <s v="Végkielégítés"/>
    <m/>
    <n v="0"/>
    <n v="0"/>
    <n v="0"/>
  </r>
  <r>
    <m/>
    <m/>
    <m/>
    <m/>
    <s v="Kari kiválósági személyi kiadások"/>
    <s v="K"/>
    <n v="33"/>
    <s v="Jubileumi jutalom"/>
    <m/>
    <n v="0"/>
    <n v="0"/>
    <n v="0"/>
  </r>
  <r>
    <m/>
    <m/>
    <m/>
    <m/>
    <s v="Kari kiválósági személyi kiadások"/>
    <s v="K"/>
    <n v="34"/>
    <s v="Iskolarendsz.képzés hozzájár."/>
    <m/>
    <n v="0"/>
    <n v="0"/>
    <n v="0"/>
  </r>
  <r>
    <m/>
    <m/>
    <m/>
    <m/>
    <s v="Kari kiválósági személyi kiadások"/>
    <s v="K"/>
    <n v="35"/>
    <s v="Iskolakezdési támogatás teljesítése"/>
    <m/>
    <n v="0"/>
    <n v="0"/>
    <n v="0"/>
  </r>
  <r>
    <m/>
    <m/>
    <m/>
    <m/>
    <s v="Kari kiválósági személyi kiadások"/>
    <s v="K"/>
    <n v="36"/>
    <s v="Egyéb béren kívüli juttatás teljesítése"/>
    <m/>
    <n v="0"/>
    <n v="0"/>
    <n v="0"/>
  </r>
  <r>
    <m/>
    <m/>
    <m/>
    <m/>
    <s v="Kari kiválósági személyi kiadások"/>
    <s v="K"/>
    <n v="37"/>
    <s v="Munkábajárás útiköltsége, bérlet"/>
    <m/>
    <n v="0"/>
    <n v="0"/>
    <n v="0"/>
  </r>
  <r>
    <m/>
    <m/>
    <m/>
    <m/>
    <s v="Kari kiválósági személyi kiadások"/>
    <s v="K"/>
    <n v="38"/>
    <s v="Munkábajárás útiköltsége - saját gk. (9 Ft/km)"/>
    <m/>
    <n v="0"/>
    <n v="0"/>
    <n v="0"/>
  </r>
  <r>
    <m/>
    <m/>
    <m/>
    <m/>
    <s v="Kari kiválósági személyi kiadások"/>
    <s v="K"/>
    <n v="39"/>
    <s v="Egyéb költségtérítések (bankköltség)"/>
    <m/>
    <n v="0"/>
    <n v="0"/>
    <n v="0"/>
  </r>
  <r>
    <m/>
    <m/>
    <m/>
    <m/>
    <s v="Kari kiválósági személyi kiadások"/>
    <s v="K"/>
    <n v="40"/>
    <s v="Lakhatási támogatás,albérleti hozzájárulás"/>
    <m/>
    <n v="0"/>
    <n v="0"/>
    <n v="0"/>
  </r>
  <r>
    <m/>
    <m/>
    <m/>
    <m/>
    <s v="Kari kiválósági személyi kiadások"/>
    <s v="K"/>
    <n v="41"/>
    <s v="Szociális jellegű juttatások"/>
    <m/>
    <n v="0"/>
    <n v="0"/>
    <n v="0"/>
  </r>
  <r>
    <m/>
    <m/>
    <m/>
    <m/>
    <s v="Kari kiválósági személyi kiadások"/>
    <s v="K"/>
    <n v="42"/>
    <s v="Foglalkoztatottak e.szem.jutt.  (Távolléti díj)"/>
    <m/>
    <n v="0"/>
    <n v="0"/>
    <n v="0"/>
  </r>
  <r>
    <m/>
    <m/>
    <m/>
    <m/>
    <s v="Kari kiválósági személyi kiadások"/>
    <s v="K"/>
    <n v="43"/>
    <s v="Saját munkavállaló oktatási megbízási díj"/>
    <m/>
    <n v="0"/>
    <n v="0"/>
    <n v="0"/>
  </r>
  <r>
    <m/>
    <m/>
    <m/>
    <m/>
    <s v="Kari kiválósági személyi kiadások"/>
    <s v="K"/>
    <n v="44"/>
    <s v="Külföldi napidíj teljesítése"/>
    <m/>
    <n v="0"/>
    <n v="0"/>
    <n v="0"/>
  </r>
  <r>
    <m/>
    <m/>
    <m/>
    <m/>
    <s v="Kari kiválósági személyi kiadások"/>
    <s v="K"/>
    <n v="45"/>
    <s v="Bérkompenzáció (teljes és részmunkaidős foglalk.)"/>
    <m/>
    <n v="0"/>
    <n v="0"/>
    <n v="0"/>
  </r>
  <r>
    <m/>
    <m/>
    <m/>
    <m/>
    <s v="Kari kiválósági személyi kiadások"/>
    <s v="K"/>
    <n v="47"/>
    <s v="Külső megbízott megbízási díj teljesítése"/>
    <m/>
    <n v="0"/>
    <n v="0"/>
    <n v="0"/>
  </r>
  <r>
    <m/>
    <m/>
    <m/>
    <m/>
    <s v="Kari kiválósági személyi kiadások"/>
    <s v="K"/>
    <n v="48"/>
    <s v="Külsős tiszteletdíj,szerzői díj,honoráriuma"/>
    <m/>
    <n v="0"/>
    <n v="0"/>
    <n v="0"/>
  </r>
  <r>
    <m/>
    <m/>
    <m/>
    <m/>
    <s v="Kari kiválósági személyi kiadások"/>
    <s v="K"/>
    <n v="49"/>
    <s v="Külsős belföldi napidíj teljesítése"/>
    <m/>
    <n v="0"/>
    <n v="0"/>
    <n v="0"/>
  </r>
  <r>
    <m/>
    <m/>
    <m/>
    <m/>
    <s v="Kari kiválósági személyi kiadások"/>
    <s v="K"/>
    <n v="50"/>
    <s v="Külsős külföldi napidíj teljesítése"/>
    <m/>
    <n v="0"/>
    <n v="0"/>
    <n v="0"/>
  </r>
  <r>
    <m/>
    <m/>
    <m/>
    <m/>
    <s v="Kari kiválósági személyi kiadások"/>
    <s v="K"/>
    <n v="51"/>
    <s v="MVÉGZÉSRE IR. E. JOGVISZONYBAN FIZETETT JUTTATÁSOK"/>
    <m/>
    <n v="0"/>
    <n v="0"/>
    <n v="0"/>
  </r>
  <r>
    <m/>
    <m/>
    <m/>
    <m/>
    <s v="Kari kiválósági személyi kiadások"/>
    <s v="K"/>
    <n v="52"/>
    <s v="Felmentési bér teljesítése"/>
    <m/>
    <n v="0"/>
    <n v="0"/>
    <n v="0"/>
  </r>
  <r>
    <m/>
    <m/>
    <m/>
    <m/>
    <s v="Kari kiválósági személyi kiadások"/>
    <s v="K"/>
    <n v="53"/>
    <s v="Munkaviszonyban nem állók költségtérítése"/>
    <m/>
    <n v="0"/>
    <n v="0"/>
    <n v="0"/>
  </r>
  <r>
    <m/>
    <m/>
    <m/>
    <m/>
    <s v="Kari kiválósági személyi kiadások"/>
    <s v="K"/>
    <n v="54"/>
    <s v="Ktg.és egyéb juttatások"/>
    <m/>
    <n v="0"/>
    <n v="0"/>
    <n v="0"/>
  </r>
  <r>
    <m/>
    <m/>
    <m/>
    <m/>
    <s v="Kari kiválósági személyi kiadások"/>
    <s v="K"/>
    <n v="55"/>
    <s v="Ktg.és egyéb jutt./vas.gyém.rubin okl.,ö.díj kieg.,OTKA p.)"/>
    <m/>
    <n v="0"/>
    <n v="0"/>
    <n v="0"/>
  </r>
  <r>
    <m/>
    <m/>
    <m/>
    <m/>
    <s v="Kari kiválósági személyi kiadások"/>
    <s v="K"/>
    <n v="56"/>
    <s v="Reprezentáció"/>
    <m/>
    <n v="0"/>
    <n v="0"/>
    <n v="0"/>
  </r>
  <r>
    <m/>
    <m/>
    <m/>
    <m/>
    <s v="Kari kiválósági személyi kiadások"/>
    <s v="K"/>
    <n v="57"/>
    <s v="EGYÉB KÜLSŐ SZEMÉLYI JUTTATÁSOK"/>
    <m/>
    <n v="0"/>
    <n v="0"/>
    <n v="0"/>
  </r>
  <r>
    <m/>
    <m/>
    <m/>
    <m/>
    <s v="Kari kiválósági személyi kiadások"/>
    <s v="K"/>
    <n v="58"/>
    <s v="KÜLSŐ SZEMÉLYI JUTTATÁSOK"/>
    <m/>
    <n v="0"/>
    <n v="0"/>
    <n v="0"/>
  </r>
  <r>
    <m/>
    <m/>
    <m/>
    <m/>
    <s v="Kari kiválósági személyi kiadások"/>
    <s v="K"/>
    <n v="59"/>
    <s v="SZEMÉLYI JUTTATÁSOK"/>
    <m/>
    <n v="0"/>
    <n v="0"/>
    <n v="0"/>
  </r>
  <r>
    <m/>
    <m/>
    <m/>
    <m/>
    <s v="Kari kiválósági személyi kiadások"/>
    <s v="K"/>
    <n v="60"/>
    <s v="SZOCHÓ (15,5%)"/>
    <m/>
    <n v="0"/>
    <n v="0"/>
    <n v="0"/>
  </r>
  <r>
    <m/>
    <m/>
    <m/>
    <m/>
    <s v="Kari kiválósági személyi kiadások"/>
    <s v="K"/>
    <n v="61"/>
    <s v="Üres"/>
    <m/>
    <n v="0"/>
    <n v="0"/>
    <n v="0"/>
  </r>
  <r>
    <m/>
    <m/>
    <m/>
    <m/>
    <s v="Kari kiválósági személyi kiadások"/>
    <s v="K"/>
    <n v="62"/>
    <s v="EKHO (15,5%)"/>
    <m/>
    <n v="0"/>
    <n v="0"/>
    <n v="0"/>
  </r>
  <r>
    <m/>
    <m/>
    <m/>
    <m/>
    <s v="Kari kiválósági személyi kiadások"/>
    <s v="K"/>
    <n v="63"/>
    <s v="Kifizetői 15,5 %-os SZOCHO"/>
    <m/>
    <n v="0"/>
    <n v="0"/>
    <n v="0"/>
  </r>
  <r>
    <m/>
    <m/>
    <m/>
    <m/>
    <s v="Kari kiválósági személyi kiadások"/>
    <s v="K"/>
    <n v="64"/>
    <s v="Kifizető által fizetett SZJA"/>
    <m/>
    <n v="0"/>
    <n v="0"/>
    <n v="0"/>
  </r>
  <r>
    <m/>
    <m/>
    <m/>
    <m/>
    <s v="Kari kiválósági személyi kiadások"/>
    <s v="K"/>
    <n v="65"/>
    <s v="Rehabilitációs hozzájárulás"/>
    <m/>
    <n v="0"/>
    <n v="0"/>
    <n v="0"/>
  </r>
  <r>
    <m/>
    <m/>
    <m/>
    <m/>
    <s v="Kari kiválósági személyi kiadások"/>
    <s v="K"/>
    <n v="66"/>
    <s v="MUNKAADÓKAT T.JÁRULÉKOK ÉS SZOCIÁLIS HOZZÁJÁRULÁSI ADÓ"/>
    <m/>
    <n v="0"/>
    <n v="0"/>
    <n v="0"/>
  </r>
  <r>
    <m/>
    <s v="Kari kiválósági dologi kiadások"/>
    <s v="K"/>
    <s v="K2.f."/>
    <s v="Kari kiválósági dologi kiadások, idei forrás"/>
    <m/>
    <m/>
    <s v="idei forrás ÖSSZESEN: töltendő, ha nincs alábontás"/>
    <n v="627474.07584228553"/>
    <n v="0"/>
    <n v="627474.07584228553"/>
    <n v="0"/>
  </r>
  <r>
    <m/>
    <m/>
    <m/>
    <m/>
    <s v="Kari kiválósági dologi kiadások"/>
    <s v="K"/>
    <n v="67"/>
    <s v="Gyógyszerbeszerzés"/>
    <m/>
    <n v="0"/>
    <n v="0"/>
    <n v="0"/>
  </r>
  <r>
    <m/>
    <m/>
    <m/>
    <m/>
    <s v="Kari kiválósági dologi kiadások"/>
    <s v="K"/>
    <n v="68"/>
    <s v="Vegyszerbeszerzés"/>
    <m/>
    <n v="0"/>
    <n v="0"/>
    <n v="0"/>
  </r>
  <r>
    <m/>
    <m/>
    <m/>
    <m/>
    <s v="Kari kiválósági dologi kiadások"/>
    <s v="K"/>
    <n v="69"/>
    <s v="Egyéb szakmai anyagbeszerzés"/>
    <m/>
    <n v="0"/>
    <n v="0"/>
    <n v="0"/>
  </r>
  <r>
    <m/>
    <m/>
    <m/>
    <m/>
    <s v="Kari kiválósági dologi kiadások"/>
    <s v="K"/>
    <n v="70"/>
    <s v="Könyvbeszerzés (5% ÁFA)"/>
    <m/>
    <n v="0"/>
    <n v="0"/>
    <n v="0"/>
  </r>
  <r>
    <m/>
    <m/>
    <m/>
    <m/>
    <s v="Kari kiválósági dologi kiadások"/>
    <s v="K"/>
    <n v="71"/>
    <s v="Egy éven belül elhasználódó szakmai anyag"/>
    <m/>
    <n v="0"/>
    <n v="0"/>
    <n v="0"/>
  </r>
  <r>
    <m/>
    <m/>
    <m/>
    <m/>
    <s v="Kari kiválósági dologi kiadások"/>
    <s v="K"/>
    <n v="73"/>
    <s v="Irodaszer. sokszorosítási. számítástechnikai anyagok"/>
    <m/>
    <n v="0"/>
    <n v="0"/>
    <n v="0"/>
  </r>
  <r>
    <m/>
    <m/>
    <m/>
    <m/>
    <s v="Kari kiválósági dologi kiadások"/>
    <s v="K"/>
    <n v="74"/>
    <s v="Nyomtatvány beszerzés"/>
    <m/>
    <n v="0"/>
    <n v="0"/>
    <n v="0"/>
  </r>
  <r>
    <m/>
    <m/>
    <m/>
    <m/>
    <s v="Kari kiválósági dologi kiadások"/>
    <s v="K"/>
    <n v="75"/>
    <s v="Hajtó- és kenőanyag beszerzése"/>
    <m/>
    <n v="0"/>
    <n v="0"/>
    <n v="0"/>
  </r>
  <r>
    <m/>
    <m/>
    <m/>
    <m/>
    <s v="Kari kiválósági dologi kiadások"/>
    <s v="K"/>
    <n v="76"/>
    <s v="Munka-. védő- és formaruha beszerzés"/>
    <m/>
    <n v="0"/>
    <n v="0"/>
    <n v="0"/>
  </r>
  <r>
    <m/>
    <m/>
    <m/>
    <m/>
    <s v="Kari kiválósági dologi kiadások"/>
    <s v="K"/>
    <n v="77"/>
    <s v="Karbantartási anyagok. alkatrészek.szerszámok beszerz"/>
    <m/>
    <n v="0"/>
    <n v="0"/>
    <n v="0"/>
  </r>
  <r>
    <m/>
    <m/>
    <m/>
    <m/>
    <s v="Kari kiválósági dologi kiadások"/>
    <s v="K"/>
    <n v="78"/>
    <s v="Bútorok.berend..felszer. tárgyak. textíliák beszerz."/>
    <m/>
    <n v="0"/>
    <n v="0"/>
    <n v="0"/>
  </r>
  <r>
    <m/>
    <m/>
    <m/>
    <m/>
    <s v="Kari kiválósági dologi kiadások"/>
    <s v="K"/>
    <n v="79"/>
    <s v="Tisztítószerek. tisztálkodási szerek beszerzése"/>
    <m/>
    <n v="0"/>
    <n v="0"/>
    <n v="0"/>
  </r>
  <r>
    <m/>
    <m/>
    <m/>
    <m/>
    <s v="Kari kiválósági dologi kiadások"/>
    <s v="K"/>
    <n v="80"/>
    <s v="Számítástechnikai alkatrészek.készletek beszerzése"/>
    <m/>
    <n v="0"/>
    <n v="0"/>
    <n v="0"/>
  </r>
  <r>
    <m/>
    <m/>
    <m/>
    <m/>
    <s v="Kari kiválósági dologi kiadások"/>
    <s v="K"/>
    <n v="81"/>
    <s v="Egyéb készletbeszerzés"/>
    <m/>
    <n v="0"/>
    <n v="0"/>
    <n v="0"/>
  </r>
  <r>
    <m/>
    <m/>
    <m/>
    <m/>
    <s v="Kari kiválósági dologi kiadások"/>
    <s v="K"/>
    <n v="84"/>
    <s v="Számítástechnikai oktatási szolg."/>
    <m/>
    <n v="0"/>
    <n v="0"/>
    <n v="0"/>
  </r>
  <r>
    <m/>
    <m/>
    <m/>
    <m/>
    <s v="Kari kiválósági dologi kiadások"/>
    <s v="K"/>
    <n v="85"/>
    <s v="Inform.eszközök, szolg.bérlet,lízingelés ktg."/>
    <m/>
    <n v="0"/>
    <n v="0"/>
    <n v="0"/>
  </r>
  <r>
    <m/>
    <m/>
    <m/>
    <m/>
    <s v="Kari kiválósági dologi kiadások"/>
    <s v="K"/>
    <n v="86"/>
    <s v="Informatikai eszközök karbantartása. kisjav."/>
    <m/>
    <n v="0"/>
    <n v="0"/>
    <n v="0"/>
  </r>
  <r>
    <m/>
    <m/>
    <m/>
    <m/>
    <s v="Kari kiválósági dologi kiadások"/>
    <s v="K"/>
    <n v="87"/>
    <s v="Adatfeldolgozási szolgáltatások"/>
    <m/>
    <n v="0"/>
    <n v="0"/>
    <n v="0"/>
  </r>
  <r>
    <m/>
    <m/>
    <m/>
    <m/>
    <s v="Kari kiválósági dologi kiadások"/>
    <s v="K"/>
    <n v="88"/>
    <s v="Adatátviteli célú távközlési díjak"/>
    <m/>
    <n v="0"/>
    <n v="0"/>
    <n v="0"/>
  </r>
  <r>
    <m/>
    <m/>
    <m/>
    <m/>
    <s v="Kari kiválósági dologi kiadások"/>
    <s v="K"/>
    <n v="90"/>
    <s v="TV előfizetési díj"/>
    <m/>
    <n v="0"/>
    <n v="0"/>
    <n v="0"/>
  </r>
  <r>
    <m/>
    <m/>
    <m/>
    <m/>
    <s v="Kari kiválósági dologi kiadások"/>
    <s v="K"/>
    <n v="91"/>
    <s v="Egyéb kommunikációs szolgáltatások"/>
    <m/>
    <n v="0"/>
    <n v="0"/>
    <n v="0"/>
  </r>
  <r>
    <m/>
    <m/>
    <m/>
    <m/>
    <s v="Kari kiválósági dologi kiadások"/>
    <s v="K"/>
    <n v="92"/>
    <s v="Nem adatátviteli célú távközlési díjak"/>
    <m/>
    <n v="0"/>
    <n v="0"/>
    <n v="0"/>
  </r>
  <r>
    <m/>
    <m/>
    <m/>
    <m/>
    <s v="Kari kiválósági dologi kiadások"/>
    <s v="K"/>
    <n v="93"/>
    <s v="Nem járulékköteles távközlési díj"/>
    <m/>
    <n v="0"/>
    <n v="0"/>
    <n v="0"/>
  </r>
  <r>
    <m/>
    <m/>
    <m/>
    <m/>
    <s v="Kari kiválósági dologi kiadások"/>
    <s v="K"/>
    <n v="96"/>
    <s v="Villamosenergia szolgáltatás díja"/>
    <m/>
    <n v="0"/>
    <n v="0"/>
    <n v="0"/>
  </r>
  <r>
    <m/>
    <m/>
    <m/>
    <m/>
    <s v="Kari kiválósági dologi kiadások"/>
    <s v="K"/>
    <n v="97"/>
    <s v="Gázenergia szolgáltatás díja"/>
    <m/>
    <n v="0"/>
    <n v="0"/>
    <n v="0"/>
  </r>
  <r>
    <m/>
    <m/>
    <m/>
    <m/>
    <s v="Kari kiválósági dologi kiadások"/>
    <s v="K"/>
    <n v="98"/>
    <s v="Távhő és melegvíz szolgáltatás díja"/>
    <m/>
    <n v="0"/>
    <n v="0"/>
    <n v="0"/>
  </r>
  <r>
    <m/>
    <m/>
    <m/>
    <m/>
    <s v="Kari kiválósági dologi kiadások"/>
    <s v="K"/>
    <n v="99"/>
    <s v="Víz- és csatornadíjak"/>
    <m/>
    <n v="0"/>
    <n v="0"/>
    <n v="0"/>
  </r>
  <r>
    <m/>
    <m/>
    <m/>
    <m/>
    <s v="Kari kiválósági dologi kiadások"/>
    <s v="K"/>
    <n v="100"/>
    <s v="ÁFA mentes villamosenergia szolgáltatás díja"/>
    <m/>
    <n v="0"/>
    <n v="0"/>
    <n v="0"/>
  </r>
  <r>
    <m/>
    <m/>
    <m/>
    <m/>
    <s v="Kari kiválósági dologi kiadások"/>
    <s v="K"/>
    <n v="102"/>
    <s v="Vásárolt élelmezés"/>
    <m/>
    <n v="0"/>
    <n v="0"/>
    <n v="0"/>
  </r>
  <r>
    <m/>
    <m/>
    <m/>
    <m/>
    <s v="Kari kiválósági dologi kiadások"/>
    <s v="K"/>
    <n v="104"/>
    <s v="PPP szolgáltatás"/>
    <m/>
    <n v="0"/>
    <n v="0"/>
    <n v="0"/>
  </r>
  <r>
    <m/>
    <m/>
    <m/>
    <m/>
    <s v="Kari kiválósági dologi kiadások"/>
    <s v="K"/>
    <n v="105"/>
    <s v="Egyéb kül. bérleti és lízing díjak (PPP nélkül)"/>
    <m/>
    <n v="0"/>
    <n v="0"/>
    <n v="0"/>
  </r>
  <r>
    <m/>
    <m/>
    <m/>
    <m/>
    <s v="Kari kiválósági dologi kiadások"/>
    <s v="K"/>
    <n v="106"/>
    <s v="Ingatlan bérleti díj költségei (Áfa mentes)"/>
    <m/>
    <n v="0"/>
    <n v="0"/>
    <n v="0"/>
  </r>
  <r>
    <m/>
    <m/>
    <m/>
    <m/>
    <s v="Kari kiválósági dologi kiadások"/>
    <s v="K"/>
    <n v="108"/>
    <s v="Ingatlanok karbantartása. kisjavítása"/>
    <m/>
    <n v="0"/>
    <n v="0"/>
    <n v="0"/>
  </r>
  <r>
    <m/>
    <m/>
    <m/>
    <m/>
    <s v="Kari kiválósági dologi kiadások"/>
    <s v="K"/>
    <n v="109"/>
    <s v="Gépek berendezések karbantartása, kisjavítása ktg."/>
    <m/>
    <n v="0"/>
    <n v="0"/>
    <n v="0"/>
  </r>
  <r>
    <m/>
    <m/>
    <m/>
    <m/>
    <s v="Kari kiválósági dologi kiadások"/>
    <s v="K"/>
    <n v="110"/>
    <s v="Járművekkel kapcsolatos karbantartási, kisjav. kiadások"/>
    <m/>
    <n v="0"/>
    <n v="0"/>
    <n v="0"/>
  </r>
  <r>
    <m/>
    <m/>
    <m/>
    <m/>
    <s v="Kari kiválósági dologi kiadások"/>
    <s v="K"/>
    <n v="112"/>
    <s v="AHT-n belüli közvetített szolgáltatások"/>
    <m/>
    <n v="0"/>
    <n v="0"/>
    <n v="0"/>
  </r>
  <r>
    <m/>
    <m/>
    <m/>
    <m/>
    <s v="Kari kiválósági dologi kiadások"/>
    <s v="K"/>
    <n v="113"/>
    <s v="AHT-n kívüli közvetített szolgáltatások"/>
    <m/>
    <n v="0"/>
    <n v="0"/>
    <n v="0"/>
  </r>
  <r>
    <m/>
    <m/>
    <m/>
    <m/>
    <s v="Kari kiválósági dologi kiadások"/>
    <s v="K"/>
    <n v="115"/>
    <s v="Vásárolt közszolgáltatások (pld. egészségügyi)"/>
    <m/>
    <n v="0"/>
    <n v="0"/>
    <n v="0"/>
  </r>
  <r>
    <m/>
    <m/>
    <m/>
    <m/>
    <s v="Kari kiválósági dologi kiadások"/>
    <s v="K"/>
    <n v="116"/>
    <s v="Jogi szolgáltatások"/>
    <m/>
    <n v="0"/>
    <n v="0"/>
    <n v="0"/>
  </r>
  <r>
    <m/>
    <m/>
    <m/>
    <m/>
    <s v="Kari kiválósági dologi kiadások"/>
    <s v="K"/>
    <n v="117"/>
    <s v="Számlázott (okt..kut.)szellemi tev.kiad."/>
    <m/>
    <n v="0"/>
    <n v="0"/>
    <n v="0"/>
  </r>
  <r>
    <m/>
    <m/>
    <m/>
    <m/>
    <s v="Kari kiválósági dologi kiadások"/>
    <s v="K"/>
    <n v="118"/>
    <s v="Szakmai szolgáltatások"/>
    <m/>
    <n v="0"/>
    <n v="0"/>
    <n v="0"/>
  </r>
  <r>
    <m/>
    <m/>
    <m/>
    <m/>
    <s v="Kari kiválósági dologi kiadások"/>
    <s v="K"/>
    <n v="119"/>
    <s v="Sport és kulturális szolgáltatás"/>
    <m/>
    <n v="0"/>
    <n v="0"/>
    <n v="0"/>
  </r>
  <r>
    <m/>
    <m/>
    <m/>
    <m/>
    <s v="Kari kiválósági dologi kiadások"/>
    <s v="K"/>
    <n v="120"/>
    <s v="Tanfolyamok. továbbképzések"/>
    <m/>
    <n v="0"/>
    <n v="0"/>
    <n v="0"/>
  </r>
  <r>
    <m/>
    <m/>
    <m/>
    <m/>
    <s v="Kari kiválósági dologi kiadások"/>
    <s v="K"/>
    <n v="122"/>
    <s v="Egyéb pénzügyi szoltáltatások (bankktg.)"/>
    <m/>
    <n v="0"/>
    <n v="0"/>
    <n v="0"/>
  </r>
  <r>
    <m/>
    <m/>
    <m/>
    <m/>
    <s v="Kari kiválósági dologi kiadások"/>
    <s v="K"/>
    <n v="123"/>
    <s v="Anyag- és áruszállítás költségei"/>
    <m/>
    <n v="0"/>
    <n v="0"/>
    <n v="0"/>
  </r>
  <r>
    <m/>
    <m/>
    <m/>
    <m/>
    <s v="Kari kiválósági dologi kiadások"/>
    <s v="K"/>
    <n v="124"/>
    <s v="Egyéb szállítás költségei"/>
    <m/>
    <n v="0"/>
    <n v="0"/>
    <n v="0"/>
  </r>
  <r>
    <m/>
    <m/>
    <m/>
    <m/>
    <s v="Kari kiválósági dologi kiadások"/>
    <s v="K"/>
    <n v="125"/>
    <s v="Postai levél. csomag. feladott távirat"/>
    <m/>
    <n v="0"/>
    <n v="0"/>
    <n v="0"/>
  </r>
  <r>
    <m/>
    <m/>
    <m/>
    <m/>
    <s v="Kari kiválósági dologi kiadások"/>
    <s v="K"/>
    <n v="126"/>
    <s v="Takarítás"/>
    <m/>
    <n v="0"/>
    <n v="0"/>
    <n v="0"/>
  </r>
  <r>
    <m/>
    <m/>
    <m/>
    <m/>
    <s v="Kari kiválósági dologi kiadások"/>
    <s v="K"/>
    <n v="127"/>
    <s v="Rovarirtás"/>
    <m/>
    <n v="0"/>
    <n v="0"/>
    <n v="0"/>
  </r>
  <r>
    <m/>
    <m/>
    <m/>
    <m/>
    <s v="Kari kiválósági dologi kiadások"/>
    <s v="K"/>
    <n v="128"/>
    <s v="Kommunális hulladék szállítási költségei"/>
    <m/>
    <n v="0"/>
    <n v="0"/>
    <n v="0"/>
  </r>
  <r>
    <m/>
    <m/>
    <m/>
    <m/>
    <s v="Kari kiválósági dologi kiadások"/>
    <s v="K"/>
    <n v="129"/>
    <s v="Kéményseprési díjak költségei"/>
    <m/>
    <n v="0"/>
    <n v="0"/>
    <n v="0"/>
  </r>
  <r>
    <m/>
    <m/>
    <m/>
    <m/>
    <s v="Kari kiválósági dologi kiadások"/>
    <s v="K"/>
    <n v="130"/>
    <s v="Nyomdai költség"/>
    <m/>
    <n v="0"/>
    <n v="0"/>
    <n v="0"/>
  </r>
  <r>
    <m/>
    <m/>
    <m/>
    <m/>
    <s v="Kari kiválósági dologi kiadások"/>
    <s v="K"/>
    <n v="131"/>
    <s v="Ingatlanok üzemelt. fenntartási kiad."/>
    <m/>
    <n v="0"/>
    <n v="0"/>
    <n v="0"/>
  </r>
  <r>
    <m/>
    <m/>
    <m/>
    <m/>
    <s v="Kari kiválósági dologi kiadások"/>
    <s v="K"/>
    <n v="132"/>
    <s v="Egyéb üzemelt. Kiadások (mosás, rakodás)"/>
    <m/>
    <n v="0"/>
    <n v="0"/>
    <n v="0"/>
  </r>
  <r>
    <m/>
    <m/>
    <m/>
    <m/>
    <s v="Kari kiválósági dologi kiadások"/>
    <s v="K"/>
    <n v="133"/>
    <s v="Egyéb más jellegű szolg. Költségei (audit, ell.)"/>
    <m/>
    <n v="0"/>
    <n v="0"/>
    <n v="0"/>
  </r>
  <r>
    <m/>
    <m/>
    <m/>
    <m/>
    <s v="Kari kiválósági dologi kiadások"/>
    <s v="K"/>
    <n v="134"/>
    <s v="Biztosítási díj (központilag fizetett vagyonbiztosítás)"/>
    <m/>
    <n v="0"/>
    <n v="0"/>
    <n v="0"/>
  </r>
  <r>
    <m/>
    <m/>
    <m/>
    <m/>
    <s v="Kari kiválósági dologi kiadások"/>
    <s v="K"/>
    <n v="137"/>
    <s v="Külföldi kiküldetések kiadásai"/>
    <m/>
    <n v="0"/>
    <n v="0"/>
    <n v="0"/>
  </r>
  <r>
    <m/>
    <m/>
    <m/>
    <m/>
    <s v="Kari kiválósági dologi kiadások"/>
    <s v="K"/>
    <n v="138"/>
    <s v="Belföldi kiküldetések kiadásai"/>
    <m/>
    <n v="0"/>
    <n v="0"/>
    <n v="0"/>
  </r>
  <r>
    <m/>
    <m/>
    <m/>
    <m/>
    <s v="Kari kiválósági dologi kiadások"/>
    <s v="K"/>
    <n v="139"/>
    <s v="Reklám- és propaganda költségei"/>
    <m/>
    <n v="0"/>
    <n v="0"/>
    <n v="0"/>
  </r>
  <r>
    <m/>
    <m/>
    <m/>
    <m/>
    <s v="Kari kiválósági dologi kiadások"/>
    <s v="K"/>
    <n v="141"/>
    <s v="Nem levonható egyenes adós ÁFA anyag, szolg."/>
    <m/>
    <n v="0"/>
    <n v="0"/>
    <n v="0"/>
  </r>
  <r>
    <m/>
    <m/>
    <m/>
    <m/>
    <s v="Kari kiválósági dologi kiadások"/>
    <s v="K"/>
    <n v="142"/>
    <s v="Egyenes adózású ÁFA befizetés"/>
    <m/>
    <n v="0"/>
    <n v="0"/>
    <n v="0"/>
  </r>
  <r>
    <m/>
    <m/>
    <m/>
    <m/>
    <s v="Kari kiválósági dologi kiadások"/>
    <s v="K"/>
    <n v="144"/>
    <s v="Külf.pénzért.szóló köt.p.ügy.real.árfoly.veszt."/>
    <m/>
    <n v="0"/>
    <n v="0"/>
    <n v="0"/>
  </r>
  <r>
    <m/>
    <m/>
    <m/>
    <m/>
    <s v="Kari kiválósági dologi kiadások"/>
    <s v="K"/>
    <n v="145"/>
    <s v="H. adók.e. vám, illeték és adójell. befiz. ráf."/>
    <m/>
    <n v="0"/>
    <n v="0"/>
    <n v="0"/>
  </r>
  <r>
    <m/>
    <m/>
    <m/>
    <m/>
    <s v="Kari kiválósági dologi kiadások"/>
    <s v="K"/>
    <n v="146"/>
    <s v="Díjak, egyéb befiz., ráford. tagsági díjak kiad."/>
    <m/>
    <n v="0"/>
    <n v="0"/>
    <n v="0"/>
  </r>
  <r>
    <m/>
    <m/>
    <m/>
    <m/>
    <s v="Kari kiválósági dologi kiadások"/>
    <s v="K"/>
    <n v="147"/>
    <s v="Turizmusfejlesztési hozzájárulás (4%)"/>
    <m/>
    <n v="0"/>
    <n v="0"/>
    <n v="0"/>
  </r>
  <r>
    <m/>
    <m/>
    <m/>
    <m/>
    <s v="Kari kiválósági dologi kiadások"/>
    <s v="K"/>
    <n v="148"/>
    <s v="Különféle egyéb dologi kiad. miatti egyéb ráfordítások"/>
    <m/>
    <n v="0"/>
    <n v="0"/>
    <n v="0"/>
  </r>
  <r>
    <m/>
    <m/>
    <m/>
    <m/>
    <s v="Kari kiválósági dologi kiadások"/>
    <s v="K"/>
    <n v="149"/>
    <s v="Kollégiumok FK keret fele"/>
    <m/>
    <n v="0"/>
    <n v="0"/>
    <n v="0"/>
  </r>
  <r>
    <s v="14."/>
    <m/>
    <m/>
    <m/>
    <s v="Kiadások célfeladatokra (átfutó)"/>
    <s v="K2A"/>
    <m/>
    <s v="ÖSSZEGZŐ SOR"/>
    <n v="0"/>
    <n v="0"/>
    <n v="0"/>
    <n v="0"/>
  </r>
  <r>
    <m/>
    <m/>
    <m/>
    <m/>
    <s v="Kiadások célfeladatokra (átfutó), maradvány, összesen"/>
    <m/>
    <m/>
    <s v="ÖSSZEGZŐ SOR"/>
    <n v="0"/>
    <n v="0"/>
    <n v="0"/>
    <n v="0"/>
  </r>
  <r>
    <m/>
    <s v="Személyi kiadások (üzemeltetetés és informatika nélkül)"/>
    <s v="K"/>
    <s v="K1.a."/>
    <s v="Kiadások célfeladatokra (átfutó), maradvány, személyi"/>
    <s v="MK"/>
    <m/>
    <s v="MARADVÁNY"/>
    <m/>
    <n v="0"/>
    <n v="0"/>
    <n v="0"/>
  </r>
  <r>
    <m/>
    <s v="Dologi kiadások (üzemeltetetés és informatika nélkül)"/>
    <s v="K"/>
    <s v="K2.a. "/>
    <s v="Kiadások célfeladatokra (átfutó), maradvány, dologi"/>
    <s v="MK"/>
    <m/>
    <s v="MARADVÁNY"/>
    <m/>
    <n v="0"/>
    <n v="0"/>
    <n v="0"/>
  </r>
  <r>
    <m/>
    <m/>
    <m/>
    <m/>
    <s v="Kiadások célfeladatokra (átfutó), idei forrás, összesen"/>
    <m/>
    <m/>
    <s v="ÖSSZEGZŐ SOR"/>
    <n v="0"/>
    <n v="0"/>
    <n v="0"/>
    <n v="0"/>
  </r>
  <r>
    <m/>
    <s v="Személyi kiadások (üzemeltetetés és informatika nélkül)"/>
    <s v="K"/>
    <s v="K1.a."/>
    <s v="Kiadások célfeladatokra (átfutó), idei forrás, személyi"/>
    <s v="K"/>
    <m/>
    <s v="űrlapsor szerinti bontás külön tervezendő"/>
    <m/>
    <n v="0"/>
    <n v="0"/>
    <n v="0"/>
  </r>
  <r>
    <m/>
    <s v="Dologi kiadások (üzemeltetetés és informatika nélkül)"/>
    <s v="K"/>
    <s v="K2.a. "/>
    <s v="Kiadások célfeladatokra (átfutó), idei forrás, dologi"/>
    <s v="K"/>
    <m/>
    <s v="űrlapsor szerinti bontás külön tervezendő"/>
    <n v="0"/>
    <n v="0"/>
    <n v="0"/>
    <n v="0"/>
  </r>
  <r>
    <m/>
    <s v="KIADÁSOK ÖSSZESEN"/>
    <s v="V."/>
    <s v="K.V."/>
    <s v="KIADÁSOK ÖSSZESEN"/>
    <m/>
    <m/>
    <m/>
    <n v="290384885.97089612"/>
    <n v="251594.70000000004"/>
    <n v="290133291.27089614"/>
    <n v="251594.70000000004"/>
  </r>
  <r>
    <m/>
    <s v="KORRIGÁLT EGYENLEG (KARI BELSŐ POZÍCIÓ)"/>
    <s v="VI."/>
    <s v="B.VI."/>
    <s v="KORRIGÁLT EGYENLEG (KARI BELSŐ POZÍCIÓ)"/>
    <m/>
    <m/>
    <m/>
    <n v="39768911.453265667"/>
    <n v="286570953.85920113"/>
    <n v="-246802042.40593541"/>
    <n v="338496993.97656322"/>
  </r>
  <r>
    <m/>
    <s v="BDPK KERESZTFINANSZÍROZÁS"/>
    <s v="B"/>
    <s v="B33"/>
    <s v="BDPK KERESZTFINANSZÍROZÁS"/>
    <m/>
    <m/>
    <m/>
    <n v="-26953095.94710359"/>
    <n v="-26953095.94710359"/>
    <n v="0"/>
    <n v="0"/>
  </r>
  <r>
    <m/>
    <m/>
    <m/>
    <m/>
    <m/>
    <m/>
    <n v="334"/>
    <s v="T BDPK keresztfinanszírozás"/>
    <n v="-26953096"/>
    <m/>
    <m/>
    <m/>
  </r>
  <r>
    <m/>
    <m/>
    <m/>
    <m/>
    <m/>
    <m/>
    <n v="287"/>
    <s v="SB BDPK keresztfinanszírozás"/>
    <n v="5.2896410226821899E-2"/>
    <m/>
    <m/>
    <m/>
  </r>
  <r>
    <m/>
    <s v="KORRIGÁLT EGYENLEG 2"/>
    <s v="VII."/>
    <s v="B.VII."/>
    <s v="KORRIGÁLT EGYENLEG 2"/>
    <m/>
    <m/>
    <m/>
    <n v="12815815.506162077"/>
    <n v="259617857.91209754"/>
    <n v="-246802042.40593541"/>
    <n v="338496993.97656322"/>
  </r>
  <r>
    <m/>
    <m/>
    <m/>
    <m/>
    <m/>
    <m/>
    <m/>
    <m/>
    <m/>
    <m/>
    <m/>
    <m/>
  </r>
  <r>
    <m/>
    <m/>
    <m/>
    <m/>
    <m/>
    <m/>
    <m/>
    <m/>
    <m/>
    <m/>
    <m/>
    <m/>
  </r>
  <r>
    <m/>
    <s v="2021. évi forrás összesen 2.a alapján"/>
    <s v="Ö"/>
    <m/>
    <s v="2021. évi forrás összesen 2.a alapján"/>
    <s v="B2A"/>
    <m/>
    <s v=" "/>
    <n v="289909983.42416179"/>
    <n v="288662605.55920112"/>
    <n v="1247377.8649607254"/>
    <n v="340588645.6765632"/>
  </r>
  <r>
    <m/>
    <s v="Tervezett 2021. évi forrás összesen"/>
    <s v="Ö"/>
    <s v="Ö1."/>
    <s v="Tervezett 2021. évi forrás összesen"/>
    <s v="B + űrlapsorszámos B2A"/>
    <m/>
    <m/>
    <n v="289909983.35757923"/>
    <n v="288662605.55920106"/>
    <n v="113218881.0445089"/>
    <n v="104531403.39124969"/>
  </r>
  <r>
    <m/>
    <s v="Maradvány forrás összesen"/>
    <s v="Ö"/>
    <s v="Ö2."/>
    <s v="Maradvány forrás összesen"/>
    <s v="MB"/>
    <m/>
    <s v=" "/>
    <n v="40243814"/>
    <n v="-1840057"/>
    <n v="42083871"/>
    <n v="-1840057"/>
  </r>
  <r>
    <m/>
    <s v="Tervezett 2021. évi forrás + maradvány összesen"/>
    <s v="Ö"/>
    <s v="Ö3."/>
    <s v="Tervezett 2021. évi forrás + maradvány összesen"/>
    <m/>
    <m/>
    <m/>
    <n v="330153797.35757923"/>
    <n v="286822548.55920106"/>
    <n v="155302752.0445089"/>
    <n v="102691346.39124969"/>
  </r>
  <r>
    <m/>
    <s v="Kiadás 2.a) összesen"/>
    <s v="Ö"/>
    <m/>
    <s v="Kiadás 2.a) összesen"/>
    <s v="K2A"/>
    <m/>
    <s v=" "/>
    <n v="290384885.97089612"/>
    <n v="251594.70000000004"/>
    <n v="290133291.27089614"/>
    <n v="251594.70000000004"/>
  </r>
  <r>
    <m/>
    <s v="Tervezett kiadás 2021. évi forrásból összesen"/>
    <s v="Ö"/>
    <s v="Ö4."/>
    <s v="Tervezett kiadás 2021. évi forrásból összesen"/>
    <s v="K"/>
    <m/>
    <s v=" "/>
    <n v="253735123.78011525"/>
    <n v="215600.00000000003"/>
    <n v="253519523.78011525"/>
    <n v="215600.00000000003"/>
  </r>
  <r>
    <m/>
    <s v="Tervezett kiadás maradványból összesen"/>
    <s v="Ö"/>
    <s v="Ö5."/>
    <s v="Tervezett kiadás maradványból összesen"/>
    <s v="MK"/>
    <m/>
    <s v=" "/>
    <n v="36649762.190780878"/>
    <n v="35994.700000000004"/>
    <n v="36613767.490780883"/>
    <n v="35994.700000000004"/>
  </r>
  <r>
    <m/>
    <s v="Tervezett kiadás mindösszesen"/>
    <s v="Ö"/>
    <s v="Ö6."/>
    <s v="Tervezett kiadás mindösszesen"/>
    <m/>
    <m/>
    <s v=" "/>
    <n v="290384885.97089612"/>
    <n v="251594.70000000004"/>
    <n v="290133291.27089614"/>
    <n v="251594.70000000004"/>
  </r>
  <r>
    <m/>
    <s v="Keresztfinanszírozás előtti egyenleg, 2021. évi forrás"/>
    <s v="Ö"/>
    <m/>
    <s v="Keresztfinanszírozás előtti egyenleg, 2021. évi forrás"/>
    <m/>
    <m/>
    <m/>
    <n v="36174859.577463984"/>
    <n v="288447005.55920106"/>
    <n v="-140300642.73560634"/>
    <n v="104315803.39124969"/>
  </r>
  <r>
    <m/>
    <s v="Keresztfinanszírozás előtti egyenleg, maradvány"/>
    <s v="Ö"/>
    <m/>
    <s v="Keresztfinanszírozás előtti egyenleg, maradvány"/>
    <m/>
    <m/>
    <m/>
    <n v="3594051.8092191219"/>
    <n v="-1876051.7"/>
    <n v="5470103.5092191175"/>
    <n v="-1876051.7"/>
  </r>
  <r>
    <m/>
    <s v="Keresztfinanszírozás előtti egyenleg, összesen"/>
    <s v="Ö"/>
    <s v="Ö7."/>
    <s v="Keresztfinanszírozás előtti egyenleg, összesen"/>
    <m/>
    <m/>
    <s v=" "/>
    <n v="39768911.386683106"/>
    <n v="286570953.85920107"/>
    <n v="-134830539.22638723"/>
    <n v="102439751.69124968"/>
  </r>
  <r>
    <m/>
    <m/>
    <m/>
    <m/>
    <m/>
    <m/>
    <m/>
    <m/>
    <m/>
    <m/>
    <m/>
    <m/>
  </r>
  <r>
    <m/>
    <s v="31. Belső keresztfinanszírozás összesen"/>
    <m/>
    <m/>
    <s v="Belső keresztfinanszírozás összesen"/>
    <m/>
    <m/>
    <m/>
    <n v="0"/>
    <n v="0"/>
    <n v="0"/>
    <n v="0"/>
  </r>
  <r>
    <m/>
    <m/>
    <m/>
    <m/>
    <s v="Belső keresztfinanszírozás, saját bevétel"/>
    <s v="B"/>
    <n v="300"/>
    <s v="SB Belső keresztfinanszírozás"/>
    <n v="0"/>
    <n v="0"/>
    <n v="0"/>
    <n v="0"/>
  </r>
  <r>
    <m/>
    <m/>
    <m/>
    <m/>
    <s v="Belső keresztfinanszírozás, támogatás"/>
    <s v="B"/>
    <n v="345"/>
    <s v="T Belső keresztfinanszírozás"/>
    <n v="0"/>
    <n v="0"/>
    <n v="0"/>
    <n v="0"/>
  </r>
  <r>
    <m/>
    <m/>
    <m/>
    <m/>
    <s v="Belső keresztfinanszírozás, maradvány"/>
    <s v="MB"/>
    <m/>
    <s v="MARADVÁNY"/>
    <m/>
    <m/>
    <m/>
    <m/>
  </r>
  <r>
    <m/>
    <s v="Keresztfinanszírozás utáni egyenleg"/>
    <m/>
    <m/>
    <m/>
    <m/>
    <m/>
    <m/>
    <m/>
    <m/>
    <m/>
    <m/>
  </r>
  <r>
    <m/>
    <m/>
    <m/>
    <m/>
    <m/>
    <m/>
    <m/>
    <m/>
    <m/>
    <m/>
    <m/>
    <m/>
  </r>
  <r>
    <m/>
    <m/>
    <m/>
    <m/>
    <m/>
    <m/>
    <m/>
    <m/>
    <m/>
    <m/>
    <m/>
    <m/>
  </r>
  <r>
    <m/>
    <s v="Pályázatok után 5% kiválósági alap átadása"/>
    <m/>
    <m/>
    <s v="Pályázatok után 5% kiválósági alap átadása"/>
    <m/>
    <n v="298"/>
    <s v="SB Kiválósági Alap"/>
    <n v="0"/>
    <m/>
    <m/>
    <m/>
  </r>
  <r>
    <m/>
    <s v="Pályázatok után 5% ÁKTH átadása"/>
    <m/>
    <m/>
    <s v="Pályázatok után 5% ÁKTH átadása"/>
    <m/>
    <n v="298"/>
    <s v="SB Kiválósági Alap"/>
    <n v="0"/>
    <m/>
    <m/>
    <m/>
  </r>
  <r>
    <m/>
    <m/>
    <m/>
    <m/>
    <m/>
    <m/>
    <m/>
    <m/>
    <m/>
    <m/>
    <m/>
    <m/>
  </r>
  <r>
    <m/>
    <m/>
    <m/>
    <m/>
    <m/>
    <m/>
    <m/>
    <m/>
    <m/>
    <m/>
    <m/>
    <m/>
  </r>
  <r>
    <m/>
    <m/>
    <m/>
    <m/>
    <m/>
    <m/>
    <m/>
    <m/>
    <m/>
    <m/>
    <m/>
    <m/>
  </r>
  <r>
    <m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28">
  <r>
    <x v="0"/>
    <x v="0"/>
    <s v="2.A ÖSSZEGEI"/>
    <s v="TERVEZETT"/>
    <m/>
    <m/>
    <m/>
    <s v="B131SSZPI"/>
    <s v="B131SSZSI"/>
    <s v="B13101/17"/>
    <s v="B39019/19"/>
    <m/>
    <m/>
    <m/>
    <m/>
    <m/>
    <s v="USZKAROPPK"/>
    <s v="KOZTERSZH"/>
    <s v="AKTHSZHELY"/>
    <s v="K07002/17"/>
    <s v="R10601/18"/>
    <s v="K06301/20"/>
    <s v="K06301/19"/>
    <s v="RR9704/14"/>
    <s v="KK9702/16"/>
    <s v="KK9701/16"/>
    <s v="R13101/16"/>
    <s v="R13201/16"/>
    <s v="ANYKRIVIZS"/>
    <s v="T20102/18"/>
    <s v="K07301/19"/>
    <s v="K07302/19"/>
    <s v="K07303/19"/>
    <s v="K07304/19"/>
    <s v="K04901/21"/>
    <s v="K16601/17"/>
    <s v="K07101/18"/>
    <m/>
  </r>
  <r>
    <x v="1"/>
    <x v="1"/>
    <n v="17"/>
    <m/>
    <m/>
    <m/>
    <m/>
    <s v="B0390"/>
    <s v="B0400"/>
    <s v="B0001"/>
    <s v="B0001"/>
    <s v="B0001"/>
    <m/>
    <s v="B0001"/>
    <s v="B0001"/>
    <s v="B0001"/>
    <s v="B0001"/>
    <s v="B0001"/>
    <s v="B0001"/>
    <s v="B0001"/>
    <s v="B0001"/>
    <s v="B0001"/>
    <s v="B0001"/>
    <s v="B0001"/>
    <s v="B0001"/>
    <s v="B0001"/>
    <s v="B0001"/>
    <s v="B0001"/>
    <s v="B0001"/>
    <s v="B0001"/>
    <s v="B0001"/>
    <s v="B0001"/>
    <s v="B0001"/>
    <s v="B0001"/>
    <s v="B0001"/>
    <s v="B0001"/>
    <s v="B0001"/>
    <m/>
  </r>
  <r>
    <x v="0"/>
    <x v="2"/>
    <n v="322532888"/>
    <n v="322532888.44302481"/>
    <n v="-0.44302481412887573"/>
    <n v="322532888.44302481"/>
    <m/>
    <n v="131717675.20589235"/>
    <n v="190815213.23713246"/>
    <n v="0"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3"/>
    <n v="105166091.74698077"/>
    <n v="105166091.74698077"/>
    <n v="0"/>
    <n v="105166091.74698077"/>
    <m/>
    <m/>
    <m/>
    <m/>
    <m/>
    <m/>
    <m/>
    <m/>
    <m/>
    <n v="105166091.74698077"/>
    <m/>
    <m/>
    <m/>
    <m/>
    <m/>
    <m/>
    <m/>
    <m/>
    <m/>
    <m/>
    <m/>
    <m/>
    <m/>
    <m/>
    <m/>
    <m/>
    <m/>
    <m/>
    <m/>
    <m/>
    <m/>
    <m/>
  </r>
  <r>
    <x v="3"/>
    <x v="4"/>
    <n v="-2155679.0843714089"/>
    <n v="-2155679.0843714089"/>
    <n v="0"/>
    <n v="0"/>
    <m/>
    <m/>
    <m/>
    <m/>
    <m/>
    <m/>
    <m/>
    <m/>
    <m/>
    <n v="-2155679.0843714089"/>
    <m/>
    <m/>
    <m/>
    <m/>
    <m/>
    <m/>
    <m/>
    <m/>
    <m/>
    <m/>
    <m/>
    <m/>
    <m/>
    <m/>
    <m/>
    <n v="2155679.0843714089"/>
    <m/>
    <m/>
    <m/>
    <m/>
    <m/>
    <m/>
  </r>
  <r>
    <x v="4"/>
    <x v="5"/>
    <n v="103010412.66260937"/>
    <n v="0"/>
    <n v="103010412.66260937"/>
    <n v="0"/>
    <s v="22.b2"/>
    <n v="39007340.107798137"/>
    <n v="35539154.488258593"/>
    <n v="28463918.066552646"/>
    <m/>
    <m/>
    <m/>
    <m/>
    <m/>
    <n v="-103010412.66260937"/>
    <m/>
    <m/>
    <m/>
    <m/>
    <m/>
    <m/>
    <m/>
    <m/>
    <m/>
    <m/>
    <m/>
    <m/>
    <m/>
    <m/>
    <m/>
    <m/>
    <m/>
    <m/>
    <m/>
    <m/>
    <m/>
    <m/>
  </r>
  <r>
    <x v="4"/>
    <x v="5"/>
    <n v="0"/>
    <n v="0"/>
    <n v="0"/>
    <n v="0"/>
    <n v="1"/>
    <n v="14894083.737121161"/>
    <n v="13569834.329431485"/>
    <n v="-28463918.066552646"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n v="219522475.78041548"/>
    <n v="219522475.78041542"/>
    <n v="0"/>
    <n v="0"/>
    <s v="22.b3"/>
    <n v="63588527.089870855"/>
    <n v="115797020.96544622"/>
    <n v="40136927.725098342"/>
    <m/>
    <m/>
    <m/>
    <m/>
    <m/>
    <m/>
    <m/>
    <m/>
    <m/>
    <m/>
    <m/>
    <m/>
    <m/>
    <m/>
    <m/>
    <m/>
    <m/>
    <m/>
    <m/>
    <m/>
    <m/>
    <n v="-219522475.78041548"/>
    <m/>
    <m/>
    <m/>
    <m/>
    <m/>
    <m/>
  </r>
  <r>
    <x v="5"/>
    <x v="6"/>
    <n v="0"/>
    <n v="0"/>
    <n v="0"/>
    <n v="0"/>
    <n v="2"/>
    <n v="14227724.271102197"/>
    <n v="25909203.453996144"/>
    <n v="-40136927.725098342"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n v="26827084"/>
    <n v="26827083.782376859"/>
    <n v="0.21762314066290855"/>
    <n v="26827083.782376859"/>
    <m/>
    <n v="16993295.24538311"/>
    <n v="9833788.5369937494"/>
    <n v="0"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7"/>
    <n v="8617440.4903810564"/>
    <n v="8617440.4903810564"/>
    <n v="0"/>
    <n v="8617440.4903810564"/>
    <m/>
    <m/>
    <m/>
    <m/>
    <m/>
    <m/>
    <m/>
    <m/>
    <m/>
    <n v="8617440.4903810564"/>
    <m/>
    <m/>
    <m/>
    <m/>
    <m/>
    <m/>
    <m/>
    <m/>
    <m/>
    <m/>
    <m/>
    <m/>
    <m/>
    <m/>
    <m/>
    <m/>
    <m/>
    <m/>
    <m/>
    <m/>
    <m/>
    <m/>
  </r>
  <r>
    <x v="7"/>
    <x v="8"/>
    <n v="-138909.41664954461"/>
    <n v="-138909.41664954461"/>
    <n v="0"/>
    <n v="0"/>
    <m/>
    <m/>
    <m/>
    <m/>
    <m/>
    <m/>
    <m/>
    <m/>
    <m/>
    <n v="-138909.41664954461"/>
    <m/>
    <m/>
    <m/>
    <m/>
    <m/>
    <m/>
    <m/>
    <m/>
    <m/>
    <m/>
    <m/>
    <m/>
    <m/>
    <m/>
    <n v="138909.41664954461"/>
    <m/>
    <m/>
    <m/>
    <m/>
    <m/>
    <m/>
    <m/>
  </r>
  <r>
    <x v="8"/>
    <x v="9"/>
    <n v="8478531.0737315118"/>
    <n v="0"/>
    <n v="8478531.0737315118"/>
    <n v="0"/>
    <s v="22.b2"/>
    <n v="1625605.2644606594"/>
    <n v="3745679.9468195587"/>
    <n v="3107245.8624512916"/>
    <m/>
    <m/>
    <m/>
    <m/>
    <m/>
    <n v="-8478531.0737315118"/>
    <m/>
    <m/>
    <m/>
    <m/>
    <m/>
    <m/>
    <m/>
    <m/>
    <m/>
    <m/>
    <m/>
    <m/>
    <m/>
    <m/>
    <m/>
    <m/>
    <m/>
    <m/>
    <m/>
    <m/>
    <m/>
    <m/>
  </r>
  <r>
    <x v="8"/>
    <x v="9"/>
    <n v="0"/>
    <n v="0"/>
    <n v="0"/>
    <n v="0"/>
    <n v="3"/>
    <n v="940399.74294541415"/>
    <n v="2166846.1195058776"/>
    <n v="-3107245.8624512916"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10"/>
    <n v="18348552.708645355"/>
    <n v="18348552.708645351"/>
    <n v="0"/>
    <n v="0"/>
    <s v="22.b3"/>
    <n v="13255932.214952378"/>
    <n v="3602893.4505932811"/>
    <n v="1489727.0430996923"/>
    <m/>
    <m/>
    <m/>
    <m/>
    <m/>
    <m/>
    <m/>
    <m/>
    <m/>
    <m/>
    <m/>
    <m/>
    <m/>
    <m/>
    <m/>
    <m/>
    <m/>
    <m/>
    <m/>
    <m/>
    <n v="-18348552.708645355"/>
    <m/>
    <m/>
    <m/>
    <m/>
    <m/>
    <m/>
    <m/>
  </r>
  <r>
    <x v="9"/>
    <x v="10"/>
    <n v="0"/>
    <n v="0"/>
    <n v="0"/>
    <n v="0"/>
    <n v="4"/>
    <n v="1171358.0230246601"/>
    <n v="318369.02007503231"/>
    <n v="-1489727.0430996923"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n v="28138193"/>
    <n v="28138193"/>
    <n v="0"/>
    <n v="28138193"/>
    <m/>
    <n v="0"/>
    <n v="0"/>
    <n v="0"/>
    <n v="0"/>
    <n v="0"/>
    <n v="0"/>
    <n v="0"/>
    <n v="0"/>
    <n v="0"/>
    <n v="28138193"/>
    <m/>
    <m/>
    <m/>
    <m/>
    <m/>
    <m/>
    <m/>
    <m/>
    <m/>
    <m/>
    <m/>
    <m/>
    <m/>
    <m/>
    <m/>
    <m/>
    <m/>
    <m/>
    <m/>
    <m/>
    <m/>
  </r>
  <r>
    <x v="0"/>
    <x v="1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"/>
    <x v="1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"/>
    <x v="1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"/>
    <x v="1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"/>
    <x v="1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"/>
    <x v="1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"/>
    <x v="1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"/>
    <x v="1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9"/>
    <n v="21919837.007874016"/>
    <n v="21919837.007874016"/>
    <n v="0"/>
    <n v="21919837.007874016"/>
    <m/>
    <m/>
    <m/>
    <m/>
    <m/>
    <m/>
    <m/>
    <m/>
    <m/>
    <m/>
    <n v="21919837.007874016"/>
    <m/>
    <m/>
    <m/>
    <m/>
    <m/>
    <m/>
    <m/>
    <m/>
    <m/>
    <m/>
    <m/>
    <m/>
    <m/>
    <m/>
    <m/>
    <m/>
    <m/>
    <m/>
    <m/>
    <m/>
    <m/>
  </r>
  <r>
    <x v="18"/>
    <x v="2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x v="2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"/>
    <x v="2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1"/>
    <x v="2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2"/>
    <x v="2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3"/>
    <x v="2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4"/>
    <x v="2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5"/>
    <x v="2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6"/>
    <x v="2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7"/>
    <x v="29"/>
    <n v="300000"/>
    <n v="300000"/>
    <n v="0"/>
    <n v="300000"/>
    <m/>
    <m/>
    <m/>
    <m/>
    <m/>
    <m/>
    <m/>
    <m/>
    <m/>
    <m/>
    <n v="300000"/>
    <m/>
    <m/>
    <m/>
    <m/>
    <m/>
    <m/>
    <m/>
    <m/>
    <m/>
    <m/>
    <m/>
    <m/>
    <m/>
    <m/>
    <m/>
    <m/>
    <m/>
    <m/>
    <m/>
    <m/>
    <m/>
  </r>
  <r>
    <x v="28"/>
    <x v="3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9"/>
    <x v="3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0"/>
    <x v="3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1"/>
    <x v="3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2"/>
    <x v="3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3"/>
    <x v="3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4"/>
    <x v="3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5"/>
    <x v="3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6"/>
    <x v="3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7"/>
    <x v="3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8"/>
    <x v="4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9"/>
    <x v="4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0"/>
    <x v="4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1"/>
    <x v="4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"/>
    <x v="4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3"/>
    <x v="4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4"/>
    <x v="4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5"/>
    <x v="4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6"/>
    <x v="4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7"/>
    <x v="4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8"/>
    <x v="5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9"/>
    <x v="51"/>
    <n v="5918355.9921259843"/>
    <n v="5918355.9921259843"/>
    <n v="0"/>
    <n v="5918355.9921259843"/>
    <m/>
    <m/>
    <m/>
    <m/>
    <m/>
    <m/>
    <m/>
    <m/>
    <m/>
    <m/>
    <n v="5918355.9921259843"/>
    <m/>
    <m/>
    <m/>
    <m/>
    <m/>
    <m/>
    <m/>
    <m/>
    <m/>
    <m/>
    <m/>
    <m/>
    <m/>
    <m/>
    <m/>
    <m/>
    <m/>
    <m/>
    <m/>
    <m/>
    <m/>
  </r>
  <r>
    <x v="50"/>
    <x v="5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1"/>
    <x v="5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2"/>
    <x v="5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3"/>
    <x v="5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4"/>
    <x v="5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5"/>
    <x v="5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6"/>
    <x v="5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7"/>
    <x v="5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8"/>
    <x v="6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9"/>
    <x v="6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0"/>
    <x v="6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n v="949293"/>
    <n v="949292.70801568264"/>
    <n v="0.29198431735858321"/>
    <n v="949292.70801568264"/>
    <m/>
    <n v="270776.51194593706"/>
    <n v="678516.19606974558"/>
    <n v="0"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7"/>
    <n v="482559.50979000004"/>
    <n v="482559.50979000004"/>
    <n v="0"/>
    <n v="482559.50979000004"/>
    <m/>
    <m/>
    <m/>
    <m/>
    <m/>
    <m/>
    <m/>
    <m/>
    <m/>
    <n v="482559.50979000004"/>
    <m/>
    <m/>
    <m/>
    <m/>
    <m/>
    <m/>
    <m/>
    <m/>
    <m/>
    <m/>
    <m/>
    <m/>
    <m/>
    <m/>
    <m/>
    <m/>
    <m/>
    <m/>
    <m/>
    <m/>
    <m/>
    <m/>
  </r>
  <r>
    <x v="7"/>
    <x v="8"/>
    <n v="0"/>
    <n v="0"/>
    <n v="0"/>
    <n v="0"/>
    <m/>
    <m/>
    <m/>
    <m/>
    <m/>
    <m/>
    <m/>
    <m/>
    <m/>
    <n v="0"/>
    <m/>
    <m/>
    <m/>
    <m/>
    <m/>
    <m/>
    <m/>
    <m/>
    <m/>
    <m/>
    <m/>
    <m/>
    <m/>
    <m/>
    <m/>
    <m/>
    <m/>
    <n v="0"/>
    <m/>
    <m/>
    <m/>
    <m/>
  </r>
  <r>
    <x v="8"/>
    <x v="9"/>
    <n v="482559.50979000004"/>
    <n v="0"/>
    <n v="482559.50979000004"/>
    <n v="0"/>
    <s v="22.b2"/>
    <n v="0"/>
    <n v="0"/>
    <n v="482559.50979000004"/>
    <m/>
    <m/>
    <m/>
    <m/>
    <m/>
    <n v="-482559.50979000004"/>
    <m/>
    <m/>
    <m/>
    <m/>
    <m/>
    <m/>
    <m/>
    <m/>
    <m/>
    <m/>
    <m/>
    <m/>
    <m/>
    <m/>
    <m/>
    <m/>
    <m/>
    <m/>
    <m/>
    <m/>
    <m/>
    <m/>
  </r>
  <r>
    <x v="8"/>
    <x v="9"/>
    <n v="0"/>
    <n v="0"/>
    <n v="0"/>
    <n v="0"/>
    <n v="5"/>
    <n v="0"/>
    <n v="482559.50979000004"/>
    <n v="-482559.50979000004"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10"/>
    <n v="466733.1982256826"/>
    <n v="466733.19822568266"/>
    <n v="0"/>
    <n v="0"/>
    <s v="22.b3"/>
    <n v="268725.17473398743"/>
    <n v="194472.16592896913"/>
    <n v="3535.857562726047"/>
    <m/>
    <m/>
    <m/>
    <m/>
    <m/>
    <m/>
    <m/>
    <m/>
    <m/>
    <m/>
    <m/>
    <m/>
    <m/>
    <m/>
    <m/>
    <m/>
    <m/>
    <m/>
    <m/>
    <m/>
    <m/>
    <m/>
    <m/>
    <n v="-466733.1982256826"/>
    <m/>
    <m/>
    <m/>
    <m/>
  </r>
  <r>
    <x v="9"/>
    <x v="10"/>
    <n v="0"/>
    <n v="0"/>
    <n v="0"/>
    <n v="0"/>
    <n v="6"/>
    <n v="2051.3372119496635"/>
    <n v="1484.5203507763833"/>
    <n v="-3535.857562726047"/>
    <m/>
    <m/>
    <m/>
    <m/>
    <m/>
    <m/>
    <m/>
    <m/>
    <m/>
    <m/>
    <m/>
    <m/>
    <m/>
    <m/>
    <m/>
    <m/>
    <m/>
    <m/>
    <m/>
    <m/>
    <m/>
    <m/>
    <m/>
    <m/>
    <m/>
    <m/>
    <m/>
    <m/>
  </r>
  <r>
    <x v="61"/>
    <x v="63"/>
    <n v="24079000"/>
    <n v="24079000"/>
    <n v="0"/>
    <n v="24079000"/>
    <n v="7"/>
    <n v="9072242.6722960062"/>
    <n v="15006757.327703994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n v="0"/>
    <n v="0"/>
    <n v="0"/>
    <n v="0"/>
    <m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</r>
  <r>
    <x v="61"/>
    <x v="63"/>
    <n v="0"/>
    <n v="0"/>
    <n v="0"/>
    <n v="0"/>
    <s v="14.b"/>
    <n v="0"/>
    <n v="0"/>
    <n v="0"/>
    <n v="0"/>
    <m/>
    <n v="0"/>
    <m/>
    <m/>
    <m/>
    <m/>
    <m/>
    <m/>
    <m/>
    <m/>
    <m/>
    <m/>
    <m/>
    <m/>
    <m/>
    <m/>
    <m/>
    <m/>
    <m/>
    <m/>
    <m/>
    <m/>
    <m/>
    <m/>
    <m/>
    <m/>
    <m/>
  </r>
  <r>
    <x v="61"/>
    <x v="63"/>
    <n v="0"/>
    <n v="0"/>
    <n v="0"/>
    <n v="0"/>
    <s v="14.c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1"/>
    <x v="63"/>
    <n v="0"/>
    <n v="0"/>
    <n v="0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</r>
  <r>
    <x v="61"/>
    <x v="63"/>
    <n v="0"/>
    <n v="0"/>
    <n v="0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</r>
  <r>
    <x v="61"/>
    <x v="63"/>
    <n v="0"/>
    <n v="0"/>
    <n v="0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</r>
  <r>
    <x v="61"/>
    <x v="63"/>
    <n v="0"/>
    <n v="0"/>
    <n v="0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n v="402526458"/>
    <n v="402526457.93341732"/>
    <n v="6.6582643892616034E-2"/>
    <n v="402526457.93341732"/>
    <m/>
    <n v="158053989.63551742"/>
    <n v="216334275.29789996"/>
    <n v="0"/>
    <n v="0"/>
    <n v="0"/>
    <n v="0"/>
    <n v="0"/>
    <n v="0"/>
    <n v="0"/>
    <n v="2813819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2"/>
    <n v="-76480027.019999996"/>
    <n v="-76480027.007349297"/>
    <n v="-1.265069842338562E-2"/>
    <n v="1.265069842338562E-2"/>
    <m/>
    <n v="-30030258.030748308"/>
    <n v="-41103512.306600988"/>
    <n v="0"/>
    <n v="0"/>
    <n v="0"/>
    <n v="0"/>
    <n v="0"/>
    <n v="0"/>
    <n v="0"/>
    <n v="-5346256.67"/>
    <m/>
    <n v="76480027.019999996"/>
    <m/>
    <m/>
    <m/>
    <m/>
    <m/>
    <m/>
    <m/>
    <m/>
    <m/>
    <m/>
    <m/>
    <m/>
    <m/>
    <m/>
    <m/>
    <m/>
    <m/>
    <m/>
    <m/>
  </r>
  <r>
    <x v="62"/>
    <x v="64"/>
    <n v="-10623768.300000001"/>
    <n v="-10623768.203174584"/>
    <n v="-9.6825417131185532E-2"/>
    <n v="9.6825417131185532E-2"/>
    <m/>
    <n v="-3280173.6338925189"/>
    <n v="-1997337.8992820641"/>
    <n v="0"/>
    <n v="0"/>
    <n v="0"/>
    <n v="0"/>
    <n v="0"/>
    <n v="0"/>
    <n v="0"/>
    <n v="-5346256.67"/>
    <m/>
    <n v="10623768.300000001"/>
    <m/>
    <m/>
    <m/>
    <m/>
    <m/>
    <m/>
    <m/>
    <m/>
    <m/>
    <m/>
    <m/>
    <m/>
    <m/>
    <m/>
    <m/>
    <m/>
    <m/>
    <m/>
    <m/>
  </r>
  <r>
    <x v="63"/>
    <x v="65"/>
    <n v="-65856258.719999999"/>
    <n v="-65856258.804174721"/>
    <n v="8.417472243309021E-2"/>
    <n v="-8.417472243309021E-2"/>
    <m/>
    <n v="-26750084.39685579"/>
    <n v="-39106174.407318927"/>
    <n v="0"/>
    <n v="0"/>
    <n v="0"/>
    <n v="0"/>
    <n v="0"/>
    <n v="0"/>
    <n v="0"/>
    <n v="0"/>
    <m/>
    <n v="65856258.719999999"/>
    <m/>
    <m/>
    <m/>
    <m/>
    <m/>
    <m/>
    <m/>
    <m/>
    <m/>
    <m/>
    <m/>
    <m/>
    <m/>
    <m/>
    <m/>
    <m/>
    <m/>
    <m/>
    <m/>
  </r>
  <r>
    <x v="0"/>
    <x v="2"/>
    <n v="-2012632.29"/>
    <n v="-2012632.2896670869"/>
    <n v="-3.3291312865912914E-4"/>
    <n v="3.3291312865912914E-4"/>
    <m/>
    <n v="-790269.94817758712"/>
    <n v="-1081671.3764894998"/>
    <n v="0"/>
    <n v="0"/>
    <n v="0"/>
    <n v="0"/>
    <n v="0"/>
    <n v="0"/>
    <n v="0"/>
    <n v="-140690.965"/>
    <m/>
    <m/>
    <m/>
    <m/>
    <n v="2012632.29"/>
    <m/>
    <m/>
    <m/>
    <m/>
    <m/>
    <m/>
    <m/>
    <m/>
    <m/>
    <m/>
    <m/>
    <m/>
    <m/>
    <m/>
    <m/>
    <m/>
  </r>
  <r>
    <x v="64"/>
    <x v="66"/>
    <n v="-279572.84999999998"/>
    <n v="-279572.84745196271"/>
    <n v="-2.5480372714810073E-3"/>
    <n v="2.5480372714810073E-3"/>
    <m/>
    <n v="-86320.358786645229"/>
    <n v="-52561.523665317472"/>
    <n v="0"/>
    <n v="0"/>
    <n v="0"/>
    <n v="0"/>
    <n v="0"/>
    <n v="0"/>
    <n v="0"/>
    <n v="-140690.965"/>
    <n v="0"/>
    <n v="0"/>
    <n v="0"/>
    <n v="0"/>
    <n v="279572.84999999998"/>
    <m/>
    <m/>
    <m/>
    <m/>
    <m/>
    <m/>
    <m/>
    <m/>
    <m/>
    <m/>
    <m/>
    <m/>
    <m/>
    <m/>
    <m/>
    <m/>
  </r>
  <r>
    <x v="65"/>
    <x v="67"/>
    <n v="-1733059.44"/>
    <n v="-1733059.4422151241"/>
    <n v="2.2151242010295391E-3"/>
    <n v="-2.2151242010295391E-3"/>
    <m/>
    <n v="-703949.5893909419"/>
    <n v="-1029109.8528241822"/>
    <n v="0"/>
    <n v="0"/>
    <n v="0"/>
    <n v="0"/>
    <n v="0"/>
    <n v="0"/>
    <n v="0"/>
    <n v="0"/>
    <n v="0"/>
    <n v="0"/>
    <n v="0"/>
    <n v="0"/>
    <n v="1733059.44"/>
    <m/>
    <m/>
    <m/>
    <m/>
    <m/>
    <m/>
    <m/>
    <m/>
    <m/>
    <m/>
    <m/>
    <m/>
    <m/>
    <m/>
    <m/>
    <m/>
  </r>
  <r>
    <x v="0"/>
    <x v="2"/>
    <n v="-6037896.8700000001"/>
    <n v="9.98739677015692E-4"/>
    <n v="-6037896.8709987402"/>
    <n v="9.98739677015692E-4"/>
    <m/>
    <n v="-2370809.8445327613"/>
    <n v="-3245014.1294684992"/>
    <n v="0"/>
    <n v="6037896.8700000001"/>
    <n v="0"/>
    <n v="0"/>
    <n v="0"/>
    <n v="0"/>
    <n v="0"/>
    <n v="-422072.89499999996"/>
    <m/>
    <m/>
    <m/>
    <m/>
    <m/>
    <m/>
    <m/>
    <m/>
    <m/>
    <m/>
    <m/>
    <m/>
    <m/>
    <m/>
    <m/>
    <m/>
    <m/>
    <m/>
    <m/>
    <m/>
    <m/>
  </r>
  <r>
    <x v="66"/>
    <x v="68"/>
    <n v="-838718.54999999993"/>
    <n v="7.6441118726506829E-3"/>
    <n v="-838718.5576441118"/>
    <n v="7.6441118726506829E-3"/>
    <m/>
    <n v="-258961.07635993569"/>
    <n v="-157684.57099595241"/>
    <n v="0"/>
    <n v="838718.54999999993"/>
    <n v="0"/>
    <n v="0"/>
    <n v="0"/>
    <n v="0"/>
    <n v="0"/>
    <n v="-422072.89499999996"/>
    <m/>
    <m/>
    <m/>
    <m/>
    <m/>
    <m/>
    <m/>
    <m/>
    <m/>
    <m/>
    <m/>
    <m/>
    <m/>
    <m/>
    <m/>
    <m/>
    <m/>
    <m/>
    <m/>
    <m/>
    <m/>
  </r>
  <r>
    <x v="67"/>
    <x v="69"/>
    <n v="-5199178.32"/>
    <n v="-6.64537213742733E-3"/>
    <n v="-5199178.3133546282"/>
    <n v="-6.64537213742733E-3"/>
    <m/>
    <n v="-2111848.7681728257"/>
    <n v="-3087329.5584725467"/>
    <n v="0"/>
    <n v="5199178.32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</r>
  <r>
    <x v="68"/>
    <x v="70"/>
    <n v="6037896.8700000001"/>
    <n v="0"/>
    <n v="6037896.870000000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9"/>
    <x v="71"/>
    <n v="-14167162.406577878"/>
    <n v="-14167162.406577878"/>
    <n v="0"/>
    <n v="0"/>
    <n v="10"/>
    <n v="-5416856.2142797764"/>
    <n v="-8750306.1922981013"/>
    <n v="0"/>
    <m/>
    <m/>
    <m/>
    <m/>
    <m/>
    <m/>
    <m/>
    <m/>
    <m/>
    <m/>
    <m/>
    <m/>
    <m/>
    <m/>
    <m/>
    <m/>
    <m/>
    <m/>
    <m/>
    <n v="14167162.406577878"/>
    <m/>
    <m/>
    <m/>
    <m/>
    <m/>
    <m/>
    <m/>
    <m/>
  </r>
  <r>
    <x v="70"/>
    <x v="72"/>
    <n v="-24408712.8712871"/>
    <n v="-24408712.8712871"/>
    <n v="0"/>
    <n v="0"/>
    <n v="10"/>
    <n v="-9332743.156668596"/>
    <n v="-15075969.714618504"/>
    <n v="0"/>
    <m/>
    <m/>
    <m/>
    <m/>
    <m/>
    <m/>
    <m/>
    <m/>
    <m/>
    <m/>
    <m/>
    <m/>
    <m/>
    <m/>
    <m/>
    <m/>
    <m/>
    <m/>
    <m/>
    <m/>
    <m/>
    <m/>
    <m/>
    <m/>
    <m/>
    <n v="24408712.8712871"/>
    <m/>
    <m/>
  </r>
  <r>
    <x v="71"/>
    <x v="73"/>
    <n v="-14953560"/>
    <n v="-14953560.000000002"/>
    <n v="0"/>
    <n v="0"/>
    <n v="11"/>
    <n v="-6520160.9235145459"/>
    <n v="-8091475.1442481671"/>
    <n v="0"/>
    <m/>
    <m/>
    <m/>
    <m/>
    <m/>
    <m/>
    <n v="-341923.93223728728"/>
    <m/>
    <m/>
    <n v="14953560"/>
    <m/>
    <m/>
    <m/>
    <m/>
    <m/>
    <m/>
    <m/>
    <m/>
    <m/>
    <m/>
    <m/>
    <m/>
    <m/>
    <m/>
    <m/>
    <m/>
    <m/>
    <m/>
  </r>
  <r>
    <x v="0"/>
    <x v="2"/>
    <n v="0"/>
    <n v="0"/>
    <n v="0"/>
    <n v="0"/>
    <m/>
    <n v="0"/>
    <n v="0"/>
    <n v="0"/>
    <m/>
    <m/>
    <m/>
    <m/>
    <m/>
    <m/>
    <m/>
    <m/>
    <m/>
    <m/>
    <m/>
    <m/>
    <m/>
    <m/>
    <n v="0"/>
    <n v="0"/>
    <m/>
    <m/>
    <m/>
    <m/>
    <m/>
    <m/>
    <m/>
    <m/>
    <m/>
    <m/>
    <m/>
    <m/>
  </r>
  <r>
    <x v="0"/>
    <x v="2"/>
    <n v="0"/>
    <n v="0"/>
    <n v="0"/>
    <n v="0"/>
    <m/>
    <n v="0"/>
    <n v="0"/>
    <n v="0"/>
    <m/>
    <m/>
    <m/>
    <m/>
    <m/>
    <m/>
    <m/>
    <m/>
    <m/>
    <m/>
    <m/>
    <m/>
    <m/>
    <m/>
    <n v="0"/>
    <m/>
    <m/>
    <m/>
    <m/>
    <m/>
    <m/>
    <m/>
    <m/>
    <m/>
    <m/>
    <m/>
    <m/>
    <m/>
  </r>
  <r>
    <x v="72"/>
    <x v="74"/>
    <n v="0"/>
    <n v="0"/>
    <n v="0"/>
    <n v="0"/>
    <m/>
    <n v="0"/>
    <n v="0"/>
    <n v="0"/>
    <m/>
    <m/>
    <m/>
    <m/>
    <m/>
    <m/>
    <m/>
    <m/>
    <m/>
    <m/>
    <m/>
    <m/>
    <m/>
    <m/>
    <n v="0"/>
    <m/>
    <m/>
    <m/>
    <m/>
    <m/>
    <m/>
    <m/>
    <m/>
    <m/>
    <m/>
    <m/>
    <m/>
    <m/>
  </r>
  <r>
    <x v="73"/>
    <x v="75"/>
    <n v="0"/>
    <n v="0"/>
    <n v="0"/>
    <n v="0"/>
    <m/>
    <n v="0"/>
    <n v="0"/>
    <n v="0"/>
    <m/>
    <m/>
    <m/>
    <m/>
    <m/>
    <m/>
    <m/>
    <m/>
    <m/>
    <m/>
    <m/>
    <m/>
    <m/>
    <m/>
    <n v="0"/>
    <m/>
    <m/>
    <m/>
    <m/>
    <m/>
    <m/>
    <m/>
    <m/>
    <m/>
    <m/>
    <m/>
    <m/>
    <m/>
  </r>
  <r>
    <x v="0"/>
    <x v="2"/>
    <n v="0"/>
    <n v="0"/>
    <n v="0"/>
    <n v="0"/>
    <m/>
    <n v="0"/>
    <n v="0"/>
    <n v="0"/>
    <m/>
    <m/>
    <m/>
    <m/>
    <m/>
    <m/>
    <m/>
    <m/>
    <m/>
    <m/>
    <m/>
    <m/>
    <m/>
    <m/>
    <m/>
    <n v="0"/>
    <m/>
    <m/>
    <m/>
    <m/>
    <m/>
    <m/>
    <m/>
    <m/>
    <m/>
    <m/>
    <m/>
    <m/>
  </r>
  <r>
    <x v="72"/>
    <x v="74"/>
    <n v="0"/>
    <n v="0"/>
    <n v="0"/>
    <n v="0"/>
    <m/>
    <n v="0"/>
    <n v="0"/>
    <n v="0"/>
    <m/>
    <m/>
    <m/>
    <m/>
    <m/>
    <m/>
    <m/>
    <m/>
    <m/>
    <m/>
    <m/>
    <m/>
    <m/>
    <m/>
    <m/>
    <n v="0"/>
    <m/>
    <m/>
    <m/>
    <m/>
    <m/>
    <m/>
    <m/>
    <m/>
    <m/>
    <m/>
    <m/>
    <m/>
  </r>
  <r>
    <x v="73"/>
    <x v="75"/>
    <n v="0"/>
    <n v="0"/>
    <n v="0"/>
    <n v="0"/>
    <m/>
    <n v="0"/>
    <n v="0"/>
    <n v="0"/>
    <m/>
    <m/>
    <m/>
    <m/>
    <m/>
    <m/>
    <m/>
    <m/>
    <m/>
    <m/>
    <m/>
    <m/>
    <m/>
    <m/>
    <m/>
    <n v="0"/>
    <m/>
    <m/>
    <m/>
    <m/>
    <m/>
    <m/>
    <m/>
    <m/>
    <m/>
    <m/>
    <m/>
    <m/>
  </r>
  <r>
    <x v="0"/>
    <x v="2"/>
    <n v="0"/>
    <n v="0"/>
    <n v="0"/>
    <n v="0"/>
    <m/>
    <n v="0"/>
    <n v="0"/>
    <n v="0"/>
    <m/>
    <m/>
    <m/>
    <m/>
    <m/>
    <m/>
    <m/>
    <m/>
    <m/>
    <m/>
    <m/>
    <m/>
    <m/>
    <n v="0"/>
    <m/>
    <m/>
    <m/>
    <m/>
    <m/>
    <m/>
    <m/>
    <m/>
    <m/>
    <m/>
    <m/>
    <m/>
    <m/>
    <m/>
  </r>
  <r>
    <x v="72"/>
    <x v="74"/>
    <n v="0"/>
    <n v="0"/>
    <n v="0"/>
    <n v="0"/>
    <m/>
    <n v="0"/>
    <n v="0"/>
    <n v="0"/>
    <m/>
    <m/>
    <m/>
    <m/>
    <m/>
    <m/>
    <m/>
    <m/>
    <m/>
    <m/>
    <m/>
    <m/>
    <m/>
    <n v="0"/>
    <m/>
    <m/>
    <m/>
    <m/>
    <m/>
    <m/>
    <m/>
    <m/>
    <m/>
    <m/>
    <m/>
    <m/>
    <m/>
    <m/>
  </r>
  <r>
    <x v="73"/>
    <x v="75"/>
    <n v="0"/>
    <n v="0"/>
    <n v="0"/>
    <n v="0"/>
    <m/>
    <n v="0"/>
    <n v="0"/>
    <n v="0"/>
    <m/>
    <m/>
    <m/>
    <m/>
    <m/>
    <m/>
    <m/>
    <m/>
    <m/>
    <m/>
    <m/>
    <m/>
    <m/>
    <n v="0"/>
    <m/>
    <m/>
    <m/>
    <m/>
    <m/>
    <m/>
    <m/>
    <m/>
    <m/>
    <m/>
    <m/>
    <m/>
    <m/>
    <m/>
  </r>
  <r>
    <x v="0"/>
    <x v="2"/>
    <n v="6694998"/>
    <n v="6694998"/>
    <n v="0"/>
    <n v="0"/>
    <m/>
    <n v="2633734.7504132232"/>
    <n v="4061263.2495867768"/>
    <n v="0"/>
    <m/>
    <m/>
    <m/>
    <m/>
    <m/>
    <m/>
    <m/>
    <n v="-6694998"/>
    <m/>
    <m/>
    <m/>
    <m/>
    <m/>
    <m/>
    <m/>
    <m/>
    <m/>
    <m/>
    <m/>
    <m/>
    <m/>
    <m/>
    <m/>
    <m/>
    <m/>
    <m/>
    <m/>
    <m/>
  </r>
  <r>
    <x v="74"/>
    <x v="76"/>
    <n v="5309168"/>
    <n v="5309168"/>
    <n v="0"/>
    <n v="0"/>
    <n v="12"/>
    <n v="2088565.2628099173"/>
    <n v="3220602.7371900827"/>
    <n v="0"/>
    <m/>
    <m/>
    <m/>
    <m/>
    <m/>
    <m/>
    <m/>
    <n v="-5309168"/>
    <m/>
    <m/>
    <m/>
    <m/>
    <m/>
    <m/>
    <m/>
    <m/>
    <m/>
    <m/>
    <m/>
    <m/>
    <m/>
    <m/>
    <m/>
    <m/>
    <m/>
    <m/>
    <m/>
    <m/>
  </r>
  <r>
    <x v="75"/>
    <x v="77"/>
    <n v="1385830"/>
    <n v="1385830"/>
    <n v="0"/>
    <n v="0"/>
    <n v="12"/>
    <n v="545169.48760330584"/>
    <n v="840660.51239669416"/>
    <n v="0"/>
    <m/>
    <m/>
    <m/>
    <m/>
    <m/>
    <m/>
    <m/>
    <n v="-1385830"/>
    <m/>
    <m/>
    <m/>
    <m/>
    <m/>
    <m/>
    <m/>
    <m/>
    <m/>
    <m/>
    <m/>
    <m/>
    <m/>
    <m/>
    <m/>
    <m/>
    <m/>
    <m/>
    <m/>
    <m/>
  </r>
  <r>
    <x v="0"/>
    <x v="2"/>
    <n v="0"/>
    <n v="0"/>
    <n v="0"/>
    <n v="0"/>
    <m/>
    <n v="0"/>
    <n v="0"/>
    <n v="0"/>
    <m/>
    <m/>
    <n v="0"/>
    <m/>
    <m/>
    <m/>
    <m/>
    <m/>
    <m/>
    <m/>
    <m/>
    <m/>
    <m/>
    <m/>
    <m/>
    <m/>
    <m/>
    <m/>
    <m/>
    <m/>
    <m/>
    <m/>
    <m/>
    <m/>
    <m/>
    <m/>
    <m/>
    <m/>
  </r>
  <r>
    <x v="76"/>
    <x v="78"/>
    <n v="0"/>
    <n v="0"/>
    <n v="0"/>
    <n v="0"/>
    <m/>
    <n v="0"/>
    <n v="0"/>
    <n v="0"/>
    <m/>
    <m/>
    <n v="0"/>
    <m/>
    <m/>
    <m/>
    <m/>
    <m/>
    <m/>
    <m/>
    <m/>
    <m/>
    <m/>
    <m/>
    <m/>
    <m/>
    <m/>
    <m/>
    <m/>
    <m/>
    <m/>
    <m/>
    <m/>
    <m/>
    <m/>
    <m/>
    <m/>
    <m/>
  </r>
  <r>
    <x v="77"/>
    <x v="79"/>
    <n v="0"/>
    <n v="0"/>
    <n v="0"/>
    <n v="0"/>
    <m/>
    <n v="0"/>
    <n v="0"/>
    <n v="0"/>
    <m/>
    <m/>
    <n v="0"/>
    <m/>
    <m/>
    <m/>
    <m/>
    <m/>
    <m/>
    <m/>
    <m/>
    <m/>
    <m/>
    <m/>
    <m/>
    <m/>
    <m/>
    <m/>
    <m/>
    <m/>
    <m/>
    <m/>
    <m/>
    <m/>
    <m/>
    <m/>
    <m/>
    <m/>
  </r>
  <r>
    <x v="68"/>
    <x v="70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n v="-77441011.623756886"/>
    <n v="0"/>
    <n v="-77441011.623756886"/>
    <n v="0"/>
    <m/>
    <n v="-30464397.961081222"/>
    <n v="-46976613.662675664"/>
    <n v="0"/>
    <m/>
    <m/>
    <m/>
    <m/>
    <m/>
    <m/>
    <n v="77441011.623756886"/>
    <m/>
    <m/>
    <m/>
    <m/>
    <m/>
    <m/>
    <m/>
    <m/>
    <m/>
    <m/>
    <m/>
    <m/>
    <m/>
    <m/>
    <m/>
    <m/>
    <m/>
    <m/>
    <m/>
    <m/>
    <m/>
  </r>
  <r>
    <x v="78"/>
    <x v="80"/>
    <n v="-25687987.242806148"/>
    <n v="0"/>
    <n v="-25687987.242806148"/>
    <n v="0"/>
    <n v="12"/>
    <n v="-10105356.964938616"/>
    <n v="-15582630.277867531"/>
    <n v="0"/>
    <m/>
    <m/>
    <m/>
    <m/>
    <m/>
    <m/>
    <n v="25687987.242806148"/>
    <m/>
    <m/>
    <m/>
    <m/>
    <m/>
    <m/>
    <m/>
    <m/>
    <m/>
    <m/>
    <m/>
    <m/>
    <m/>
    <m/>
    <m/>
    <m/>
    <m/>
    <m/>
    <m/>
    <m/>
    <m/>
  </r>
  <r>
    <x v="79"/>
    <x v="81"/>
    <n v="-51753024.380950734"/>
    <n v="0"/>
    <n v="-51753024.380950734"/>
    <n v="0"/>
    <n v="12"/>
    <n v="-20359040.996142603"/>
    <n v="-31393983.384808131"/>
    <n v="0"/>
    <m/>
    <m/>
    <m/>
    <m/>
    <m/>
    <m/>
    <n v="51753024.380950734"/>
    <m/>
    <m/>
    <m/>
    <m/>
    <m/>
    <m/>
    <m/>
    <m/>
    <m/>
    <m/>
    <m/>
    <m/>
    <m/>
    <m/>
    <m/>
    <m/>
    <m/>
    <m/>
    <m/>
    <m/>
    <m/>
  </r>
  <r>
    <x v="68"/>
    <x v="70"/>
    <n v="77441011.623756886"/>
    <m/>
    <n v="77441011.6237568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0"/>
    <x v="82"/>
    <n v="0"/>
    <n v="0"/>
    <n v="0"/>
    <n v="0"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m/>
  </r>
  <r>
    <x v="0"/>
    <x v="0"/>
    <n v="277199361.412135"/>
    <n v="277199361.35953468"/>
    <n v="5.2600294351577759E-2"/>
    <n v="402526457.94739968"/>
    <m/>
    <n v="75762228.30692786"/>
    <n v="96070976.021087334"/>
    <n v="0"/>
    <n v="6037896.8700000001"/>
    <n v="0"/>
    <n v="0"/>
    <n v="0"/>
    <n v="0"/>
    <n v="0"/>
    <n v="99328260.161519602"/>
    <n v="-6694998"/>
    <n v="76480027.019999996"/>
    <n v="14953560"/>
    <n v="0"/>
    <n v="2012632.29"/>
    <n v="0"/>
    <n v="0"/>
    <n v="0"/>
    <n v="0"/>
    <n v="0"/>
    <n v="0"/>
    <n v="0"/>
    <n v="14167162.406577878"/>
    <n v="0"/>
    <n v="0"/>
    <n v="0"/>
    <n v="0"/>
    <n v="0"/>
    <n v="24408712.8712871"/>
    <n v="0"/>
    <n v="0"/>
  </r>
  <r>
    <x v="0"/>
    <x v="83"/>
    <n v="52976172"/>
    <n v="52976172"/>
    <n v="0"/>
    <n v="52976172"/>
    <m/>
    <n v="11242042"/>
    <n v="-17389978"/>
    <n v="59216649"/>
    <m/>
    <m/>
    <m/>
    <m/>
    <m/>
    <n v="5527376"/>
    <n v="-5619917"/>
    <m/>
    <m/>
    <m/>
    <m/>
    <m/>
    <m/>
    <m/>
    <m/>
    <m/>
    <m/>
    <m/>
    <m/>
    <m/>
    <m/>
    <m/>
    <m/>
    <m/>
    <m/>
    <m/>
    <m/>
    <m/>
  </r>
  <r>
    <x v="0"/>
    <x v="83"/>
    <n v="-30874071"/>
    <n v="-30874071"/>
    <n v="0"/>
    <n v="-30874071"/>
    <m/>
    <n v="-10548116"/>
    <n v="-13059775"/>
    <n v="-6290643"/>
    <m/>
    <m/>
    <m/>
    <m/>
    <m/>
    <m/>
    <n v="-975537"/>
    <m/>
    <m/>
    <m/>
    <m/>
    <m/>
    <m/>
    <m/>
    <m/>
    <m/>
    <m/>
    <m/>
    <m/>
    <m/>
    <m/>
    <m/>
    <m/>
    <m/>
    <m/>
    <m/>
    <m/>
    <m/>
  </r>
  <r>
    <x v="0"/>
    <x v="83"/>
    <n v="10497387"/>
    <n v="10497387"/>
    <n v="0"/>
    <n v="10497387"/>
    <m/>
    <m/>
    <m/>
    <m/>
    <n v="10497387"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3"/>
    <n v="7695747"/>
    <n v="7695747"/>
    <n v="0"/>
    <n v="7695747"/>
    <n v="13"/>
    <n v="0"/>
    <n v="0"/>
    <n v="7695747"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3"/>
    <n v="-51421"/>
    <n v="-51421"/>
    <n v="0"/>
    <n v="-51421"/>
    <m/>
    <n v="0"/>
    <n v="0"/>
    <n v="-51421"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n v="317443175.412135"/>
    <n v="317443175.35953468"/>
    <n v="5.2600294351577759E-2"/>
    <n v="442770271.94739968"/>
    <m/>
    <n v="76456154.30692786"/>
    <n v="65621223.021087334"/>
    <n v="60570332"/>
    <n v="16535283.870000001"/>
    <n v="0"/>
    <n v="0"/>
    <n v="0"/>
    <n v="0"/>
    <n v="5527376"/>
    <n v="92732806.161519602"/>
    <n v="-6694998"/>
    <n v="76480027.019999996"/>
    <n v="14953560"/>
    <n v="0"/>
    <n v="2012632.29"/>
    <n v="0"/>
    <n v="0"/>
    <n v="0"/>
    <n v="0"/>
    <n v="0"/>
    <n v="0"/>
    <n v="0"/>
    <n v="14167162.406577878"/>
    <n v="0"/>
    <n v="0"/>
    <n v="0"/>
    <n v="0"/>
    <n v="0"/>
    <n v="24408712.8712871"/>
    <n v="0"/>
    <n v="0"/>
  </r>
  <r>
    <x v="4"/>
    <x v="5"/>
    <n v="15021592.561523914"/>
    <n v="15021592.561523914"/>
    <n v="0"/>
    <n v="15021592.561523914"/>
    <n v="8"/>
    <n v="5317540.0486270925"/>
    <n v="9704052.5128968209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3"/>
    <n v="768000"/>
    <n v="768000"/>
    <n v="0"/>
    <n v="768000"/>
    <n v="9"/>
    <n v="313639.87420462712"/>
    <n v="454360.12579537288"/>
    <n v="0"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n v="0"/>
    <n v="0"/>
    <n v="0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</r>
  <r>
    <x v="81"/>
    <x v="84"/>
    <n v="0"/>
    <n v="0"/>
    <n v="0"/>
    <n v="0"/>
    <m/>
    <m/>
    <m/>
    <m/>
    <m/>
    <m/>
    <m/>
    <m/>
    <m/>
    <n v="0"/>
    <m/>
    <m/>
    <m/>
    <m/>
    <m/>
    <m/>
    <m/>
    <m/>
    <m/>
    <m/>
    <m/>
    <m/>
    <m/>
    <m/>
    <m/>
    <m/>
    <m/>
    <m/>
    <n v="0"/>
    <m/>
    <m/>
    <m/>
  </r>
  <r>
    <x v="3"/>
    <x v="4"/>
    <n v="0"/>
    <n v="0"/>
    <n v="0"/>
    <n v="0"/>
    <m/>
    <m/>
    <m/>
    <m/>
    <m/>
    <m/>
    <m/>
    <m/>
    <m/>
    <n v="0"/>
    <m/>
    <m/>
    <m/>
    <m/>
    <m/>
    <m/>
    <m/>
    <m/>
    <m/>
    <m/>
    <m/>
    <m/>
    <m/>
    <m/>
    <m/>
    <m/>
    <n v="0"/>
    <m/>
    <m/>
    <m/>
    <m/>
    <m/>
  </r>
  <r>
    <x v="4"/>
    <x v="5"/>
    <n v="0"/>
    <n v="0"/>
    <n v="0"/>
    <n v="0"/>
    <s v="22.b2"/>
    <n v="0"/>
    <n v="0"/>
    <n v="0"/>
    <m/>
    <m/>
    <m/>
    <m/>
    <m/>
    <n v="0"/>
    <m/>
    <m/>
    <m/>
    <m/>
    <m/>
    <m/>
    <m/>
    <m/>
    <m/>
    <m/>
    <m/>
    <m/>
    <m/>
    <m/>
    <m/>
    <m/>
    <m/>
    <m/>
    <m/>
    <m/>
    <m/>
    <m/>
  </r>
  <r>
    <x v="4"/>
    <x v="5"/>
    <n v="0"/>
    <n v="0"/>
    <n v="0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5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5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5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5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n v="0"/>
    <n v="0"/>
    <n v="0"/>
    <n v="0"/>
    <s v="22.b3"/>
    <n v="0"/>
    <n v="0"/>
    <n v="0"/>
    <m/>
    <m/>
    <m/>
    <m/>
    <m/>
    <m/>
    <m/>
    <m/>
    <m/>
    <m/>
    <m/>
    <m/>
    <m/>
    <m/>
    <m/>
    <m/>
    <m/>
    <m/>
    <m/>
    <m/>
    <m/>
    <m/>
    <n v="0"/>
    <m/>
    <m/>
    <m/>
    <m/>
    <m/>
  </r>
  <r>
    <x v="5"/>
    <x v="6"/>
    <n v="0"/>
    <n v="0"/>
    <n v="0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n v="0"/>
    <n v="0"/>
    <n v="0"/>
    <n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1"/>
    <x v="84"/>
    <n v="0"/>
    <n v="0"/>
    <n v="0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n v="0"/>
    <m/>
    <m/>
    <m/>
  </r>
  <r>
    <x v="0"/>
    <x v="2"/>
    <n v="-3000022.5866895439"/>
    <n v="-3000022.5866895439"/>
    <n v="0"/>
    <n v="0"/>
    <m/>
    <n v="-1069924.1853380268"/>
    <n v="-1930098.4013515171"/>
    <n v="0"/>
    <n v="0"/>
    <n v="0"/>
    <n v="0"/>
    <n v="0"/>
    <n v="0"/>
    <n v="0"/>
    <n v="0"/>
    <n v="0"/>
    <n v="3000022.5866895439"/>
    <n v="0"/>
    <n v="0"/>
    <n v="0"/>
    <n v="0"/>
    <n v="0"/>
    <n v="0"/>
    <n v="0"/>
    <n v="0"/>
    <n v="0"/>
    <n v="0"/>
    <n v="0"/>
    <n v="0"/>
    <n v="0"/>
    <n v="0"/>
    <n v="0"/>
    <n v="0"/>
    <m/>
    <m/>
    <n v="0"/>
  </r>
  <r>
    <x v="63"/>
    <x v="65"/>
    <n v="-3000022.5866895439"/>
    <n v="-3000022.5866895439"/>
    <n v="0"/>
    <n v="0"/>
    <m/>
    <n v="-1069924.1853380268"/>
    <n v="-1930098.4013515171"/>
    <n v="0"/>
    <n v="0"/>
    <n v="0"/>
    <n v="0"/>
    <n v="0"/>
    <n v="0"/>
    <n v="0"/>
    <n v="0"/>
    <m/>
    <n v="3000022.5866895439"/>
    <m/>
    <m/>
    <m/>
    <m/>
    <m/>
    <m/>
    <m/>
    <m/>
    <m/>
    <m/>
    <m/>
    <m/>
    <m/>
    <m/>
    <m/>
    <m/>
    <m/>
    <m/>
    <m/>
  </r>
  <r>
    <x v="0"/>
    <x v="83"/>
    <n v="0"/>
    <n v="0"/>
    <n v="0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n v="-78947.96280761958"/>
    <n v="-78947.96280761958"/>
    <n v="0"/>
    <n v="0"/>
    <m/>
    <n v="-28155.899614158599"/>
    <n v="-50792.063193460977"/>
    <n v="0"/>
    <n v="0"/>
    <n v="0"/>
    <n v="0"/>
    <n v="0"/>
    <n v="0"/>
    <n v="0"/>
    <n v="0"/>
    <n v="0"/>
    <n v="0"/>
    <n v="0"/>
    <n v="0"/>
    <n v="78947.96280761958"/>
    <n v="0"/>
    <n v="0"/>
    <n v="0"/>
    <n v="0"/>
    <n v="0"/>
    <n v="0"/>
    <n v="0"/>
    <n v="0"/>
    <n v="0"/>
    <n v="0"/>
    <n v="0"/>
    <n v="0"/>
    <n v="0"/>
    <m/>
    <m/>
    <n v="0"/>
  </r>
  <r>
    <x v="65"/>
    <x v="67"/>
    <n v="-78947.96280761958"/>
    <n v="-78947.96280761958"/>
    <n v="0"/>
    <n v="0"/>
    <m/>
    <n v="-28155.899614158599"/>
    <n v="-50792.063193460977"/>
    <n v="0"/>
    <n v="0"/>
    <n v="0"/>
    <n v="0"/>
    <n v="0"/>
    <n v="0"/>
    <n v="0"/>
    <n v="0"/>
    <m/>
    <m/>
    <m/>
    <m/>
    <n v="78947.96280761958"/>
    <m/>
    <m/>
    <m/>
    <m/>
    <m/>
    <m/>
    <m/>
    <m/>
    <m/>
    <m/>
    <m/>
    <m/>
    <m/>
    <m/>
    <m/>
    <m/>
  </r>
  <r>
    <x v="0"/>
    <x v="83"/>
    <n v="0"/>
    <n v="0"/>
    <n v="0"/>
    <n v="0"/>
    <m/>
    <n v="0"/>
    <n v="0"/>
    <n v="0"/>
    <m/>
    <m/>
    <m/>
    <m/>
    <m/>
    <m/>
    <m/>
    <m/>
    <m/>
    <m/>
    <m/>
    <n v="0"/>
    <m/>
    <m/>
    <m/>
    <m/>
    <m/>
    <m/>
    <m/>
    <m/>
    <m/>
    <m/>
    <m/>
    <m/>
    <m/>
    <m/>
    <m/>
    <m/>
  </r>
  <r>
    <x v="0"/>
    <x v="2"/>
    <n v="-236843.8884228587"/>
    <n v="-2.9103830456733704E-11"/>
    <n v="-236843.88842285867"/>
    <n v="-2.9103830456733704E-11"/>
    <m/>
    <n v="-84467.698842475787"/>
    <n v="-152376.18958038292"/>
    <n v="0"/>
    <n v="236843.888422858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n v="0"/>
  </r>
  <r>
    <x v="67"/>
    <x v="69"/>
    <n v="-236843.8884228587"/>
    <n v="0"/>
    <n v="-236843.8884228587"/>
    <n v="0"/>
    <m/>
    <n v="-84467.698842475787"/>
    <n v="-152376.18958038292"/>
    <n v="0"/>
    <n v="236843.8884228587"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3"/>
    <n v="0"/>
    <n v="0"/>
    <n v="0"/>
    <n v="0"/>
    <m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70"/>
    <n v="236843.8884228587"/>
    <n v="0"/>
    <n v="236843.8884228587"/>
    <n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n v="0"/>
  </r>
  <r>
    <x v="68"/>
    <x v="70"/>
    <n v="236843.8884228587"/>
    <n v="0"/>
    <n v="236843.888422858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n v="330153797.42416179"/>
    <n v="330153797.37156147"/>
    <n v="5.2600294380681589E-2"/>
    <n v="458559864.50892359"/>
    <m/>
    <n v="80904786.445964918"/>
    <n v="73646369.005654186"/>
    <n v="60570332"/>
    <n v="16772127.758422859"/>
    <n v="0"/>
    <n v="0"/>
    <n v="0"/>
    <n v="0"/>
    <n v="5527376"/>
    <n v="92732806.161519602"/>
    <n v="-6694998"/>
    <n v="79480049.606689543"/>
    <n v="14953560"/>
    <n v="0"/>
    <n v="2091580.2528076195"/>
    <n v="0"/>
    <n v="0"/>
    <n v="0"/>
    <n v="0"/>
    <n v="0"/>
    <n v="0"/>
    <n v="0"/>
    <n v="14167162.406577878"/>
    <n v="0"/>
    <n v="0"/>
    <n v="0"/>
    <n v="0"/>
    <n v="0"/>
    <n v="24408712.8712871"/>
    <n v="0"/>
    <n v="0"/>
  </r>
  <r>
    <x v="0"/>
    <x v="2"/>
    <n v="0"/>
    <n v="0"/>
    <n v="0"/>
    <n v="0"/>
    <m/>
    <n v="-30140883.216086335"/>
    <n v="-12583857.707952507"/>
    <n v="59867284.271020681"/>
    <m/>
    <m/>
    <m/>
    <m/>
    <m/>
    <n v="-5527376"/>
    <n v="-11615167.346981831"/>
    <m/>
    <m/>
    <m/>
    <m/>
    <m/>
    <m/>
    <m/>
    <m/>
    <m/>
    <m/>
    <m/>
    <m/>
    <m/>
    <m/>
    <m/>
    <m/>
    <m/>
    <m/>
    <m/>
    <m/>
    <m/>
  </r>
  <r>
    <x v="0"/>
    <x v="85"/>
    <n v="0"/>
    <n v="0"/>
    <n v="0"/>
    <n v="0"/>
    <m/>
    <n v="959299"/>
    <n v="30449753"/>
    <n v="-36153757.190780878"/>
    <m/>
    <m/>
    <m/>
    <m/>
    <m/>
    <n v="-5527376"/>
    <n v="10272081.190780882"/>
    <m/>
    <m/>
    <m/>
    <m/>
    <m/>
    <m/>
    <m/>
    <m/>
    <m/>
    <m/>
    <m/>
    <m/>
    <m/>
    <m/>
    <m/>
    <m/>
    <m/>
    <m/>
    <m/>
    <m/>
    <m/>
  </r>
  <r>
    <x v="0"/>
    <x v="86"/>
    <n v="0"/>
    <n v="0"/>
    <n v="0"/>
    <n v="0"/>
    <m/>
    <n v="959299"/>
    <m/>
    <m/>
    <m/>
    <m/>
    <m/>
    <m/>
    <m/>
    <n v="-959299"/>
    <m/>
    <m/>
    <m/>
    <m/>
    <m/>
    <m/>
    <m/>
    <m/>
    <m/>
    <m/>
    <m/>
    <m/>
    <m/>
    <m/>
    <m/>
    <m/>
    <m/>
    <m/>
    <m/>
    <m/>
    <m/>
    <m/>
  </r>
  <r>
    <x v="0"/>
    <x v="87"/>
    <n v="0"/>
    <n v="0"/>
    <n v="0"/>
    <n v="0"/>
    <m/>
    <m/>
    <n v="30449753"/>
    <n v="-30449753"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8"/>
    <n v="0"/>
    <n v="0"/>
    <n v="0"/>
    <n v="0"/>
    <m/>
    <m/>
    <m/>
    <n v="4568077"/>
    <m/>
    <m/>
    <m/>
    <m/>
    <m/>
    <n v="-4568077"/>
    <m/>
    <m/>
    <m/>
    <m/>
    <m/>
    <m/>
    <m/>
    <m/>
    <m/>
    <m/>
    <m/>
    <m/>
    <m/>
    <m/>
    <m/>
    <m/>
    <m/>
    <m/>
    <m/>
    <m/>
    <m/>
    <m/>
  </r>
  <r>
    <x v="0"/>
    <x v="89"/>
    <n v="0"/>
    <n v="0"/>
    <n v="0"/>
    <n v="0"/>
    <m/>
    <m/>
    <m/>
    <n v="-6595454"/>
    <m/>
    <m/>
    <m/>
    <m/>
    <m/>
    <m/>
    <n v="6595454"/>
    <m/>
    <m/>
    <m/>
    <m/>
    <m/>
    <m/>
    <m/>
    <m/>
    <m/>
    <m/>
    <m/>
    <m/>
    <m/>
    <m/>
    <m/>
    <m/>
    <m/>
    <m/>
    <m/>
    <m/>
    <m/>
  </r>
  <r>
    <x v="0"/>
    <x v="0"/>
    <n v="0"/>
    <n v="0"/>
    <n v="0"/>
    <n v="0"/>
    <m/>
    <n v="0"/>
    <n v="0"/>
    <n v="-3676627.1907808813"/>
    <m/>
    <m/>
    <m/>
    <m/>
    <m/>
    <m/>
    <n v="3676627.1907808813"/>
    <m/>
    <m/>
    <m/>
    <m/>
    <m/>
    <m/>
    <m/>
    <m/>
    <m/>
    <m/>
    <m/>
    <m/>
    <m/>
    <m/>
    <m/>
    <m/>
    <m/>
    <m/>
    <m/>
    <m/>
    <m/>
  </r>
  <r>
    <x v="0"/>
    <x v="2"/>
    <n v="0"/>
    <n v="0"/>
    <n v="0"/>
    <n v="0"/>
    <m/>
    <n v="-31100182.216086335"/>
    <n v="-43033610.707952507"/>
    <n v="96021041.461801559"/>
    <n v="0"/>
    <n v="0"/>
    <n v="0"/>
    <n v="0"/>
    <n v="0"/>
    <n v="0"/>
    <n v="-21887248.537762713"/>
    <m/>
    <m/>
    <m/>
    <m/>
    <m/>
    <m/>
    <m/>
    <m/>
    <m/>
    <m/>
    <m/>
    <m/>
    <m/>
    <m/>
    <m/>
    <m/>
    <m/>
    <m/>
    <m/>
    <m/>
    <m/>
  </r>
  <r>
    <x v="0"/>
    <x v="2"/>
    <n v="0"/>
    <n v="0"/>
    <n v="0"/>
    <n v="0"/>
    <m/>
    <n v="-3280173.6338925189"/>
    <n v="-1997337.8992820641"/>
    <n v="27506684.003174581"/>
    <n v="0"/>
    <n v="0"/>
    <n v="0"/>
    <n v="0"/>
    <n v="0"/>
    <n v="0"/>
    <n v="-22229172.469999999"/>
    <m/>
    <m/>
    <m/>
    <m/>
    <m/>
    <m/>
    <m/>
    <m/>
    <m/>
    <m/>
    <m/>
    <m/>
    <m/>
    <m/>
    <m/>
    <m/>
    <m/>
    <m/>
    <m/>
    <m/>
    <m/>
  </r>
  <r>
    <x v="82"/>
    <x v="90"/>
    <n v="0"/>
    <n v="0"/>
    <n v="0"/>
    <n v="0"/>
    <m/>
    <m/>
    <m/>
    <n v="22229172.469999999"/>
    <m/>
    <m/>
    <m/>
    <m/>
    <m/>
    <m/>
    <n v="-22229172.469999999"/>
    <m/>
    <m/>
    <m/>
    <m/>
    <m/>
    <m/>
    <m/>
    <m/>
    <m/>
    <m/>
    <m/>
    <m/>
    <m/>
    <m/>
    <m/>
    <m/>
    <m/>
    <m/>
    <m/>
    <m/>
    <m/>
  </r>
  <r>
    <x v="82"/>
    <x v="90"/>
    <n v="0"/>
    <n v="0"/>
    <n v="0"/>
    <n v="0"/>
    <m/>
    <n v="-3280173.6338925189"/>
    <n v="-1997337.8992820641"/>
    <n v="5277511.5331745828"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n v="0"/>
    <n v="4.8894435167312622E-9"/>
    <n v="-4.8894435167312622E-9"/>
    <n v="4.8894435167312622E-9"/>
    <m/>
    <n v="-27820008.582193818"/>
    <n v="-41036272.808670446"/>
    <n v="68514357.458626986"/>
    <n v="0"/>
    <n v="0"/>
    <n v="0"/>
    <n v="0"/>
    <n v="0"/>
    <n v="0"/>
    <n v="341923.93223728728"/>
    <m/>
    <m/>
    <m/>
    <m/>
    <m/>
    <m/>
    <m/>
    <m/>
    <m/>
    <m/>
    <m/>
    <m/>
    <m/>
    <m/>
    <m/>
    <m/>
    <m/>
    <m/>
    <m/>
    <m/>
    <m/>
  </r>
  <r>
    <x v="70"/>
    <x v="72"/>
    <n v="0"/>
    <n v="0"/>
    <n v="0"/>
    <n v="0"/>
    <m/>
    <m/>
    <m/>
    <n v="-341923.93223728728"/>
    <m/>
    <m/>
    <m/>
    <m/>
    <m/>
    <m/>
    <n v="341923.93223728728"/>
    <m/>
    <m/>
    <m/>
    <m/>
    <m/>
    <m/>
    <m/>
    <m/>
    <m/>
    <m/>
    <m/>
    <m/>
    <m/>
    <m/>
    <m/>
    <m/>
    <m/>
    <m/>
    <m/>
    <m/>
    <m/>
  </r>
  <r>
    <x v="70"/>
    <x v="72"/>
    <n v="0"/>
    <n v="0"/>
    <n v="0"/>
    <n v="0"/>
    <m/>
    <n v="-27820008.582193818"/>
    <n v="-41036272.808670446"/>
    <n v="68856281.390864268"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n v="196907865.39793551"/>
    <n v="196907865.49157715"/>
    <n v="-9.364163875579834E-2"/>
    <n v="196907865.49157715"/>
    <m/>
    <n v="84146470.120788574"/>
    <n v="109903099.12078856"/>
    <n v="2858296.25"/>
    <n v="0"/>
    <m/>
    <n v="0"/>
    <m/>
    <m/>
    <n v="0"/>
    <n v="0"/>
    <m/>
    <m/>
    <m/>
    <m/>
    <m/>
    <m/>
    <m/>
    <m/>
    <m/>
    <m/>
    <m/>
    <m/>
    <m/>
    <m/>
    <m/>
    <m/>
    <m/>
    <m/>
    <m/>
    <m/>
    <m/>
  </r>
  <r>
    <x v="0"/>
    <x v="83"/>
    <n v="23572419"/>
    <n v="23572419"/>
    <n v="0"/>
    <n v="23572419"/>
    <m/>
    <n v="6018379"/>
    <n v="17554040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9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3"/>
    <x v="92"/>
    <n v="119825160.48621397"/>
    <n v="119825160.48621397"/>
    <n v="0"/>
    <n v="119825160.48621397"/>
    <m/>
    <n v="54742781.883799627"/>
    <n v="65082378.60241434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4"/>
    <x v="9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5"/>
    <x v="9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6"/>
    <x v="9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7"/>
    <x v="96"/>
    <n v="3482664"/>
    <n v="3482664"/>
    <n v="0"/>
    <n v="3482664"/>
    <m/>
    <n v="630000"/>
    <n v="2852664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8"/>
    <x v="9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9"/>
    <x v="98"/>
    <n v="934546"/>
    <n v="934546"/>
    <n v="0"/>
    <n v="934546"/>
    <m/>
    <n v="469091"/>
    <n v="46545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0"/>
    <x v="9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1"/>
    <x v="100"/>
    <n v="3863027"/>
    <n v="3863027"/>
    <n v="0"/>
    <n v="3863027"/>
    <m/>
    <n v="2591027"/>
    <n v="1272000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2"/>
    <x v="101"/>
    <n v="1771625"/>
    <n v="1771625"/>
    <n v="0"/>
    <n v="1771625"/>
    <m/>
    <n v="1681625"/>
    <n v="90000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3"/>
    <x v="102"/>
    <n v="1618800"/>
    <n v="1618800"/>
    <n v="0"/>
    <n v="1618800"/>
    <m/>
    <m/>
    <n v="1618800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4"/>
    <x v="10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5"/>
    <x v="10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6"/>
    <x v="10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7"/>
    <x v="10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8"/>
    <x v="10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9"/>
    <x v="10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0"/>
    <x v="10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1"/>
    <x v="10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2"/>
    <x v="110"/>
    <n v="554400"/>
    <n v="554400"/>
    <n v="0"/>
    <n v="554400"/>
    <m/>
    <n v="0"/>
    <n v="554400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3"/>
    <x v="11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4"/>
    <x v="11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5"/>
    <x v="11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6"/>
    <x v="114"/>
    <n v="280000"/>
    <n v="280000"/>
    <n v="0"/>
    <n v="280000"/>
    <m/>
    <n v="150000"/>
    <n v="130000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7"/>
    <x v="11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8"/>
    <x v="116"/>
    <n v="425976"/>
    <n v="425976"/>
    <n v="0"/>
    <n v="425976"/>
    <m/>
    <n v="192031"/>
    <n v="23394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9"/>
    <x v="11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0"/>
    <x v="11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1"/>
    <x v="11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2"/>
    <x v="12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3"/>
    <x v="12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4"/>
    <x v="122"/>
    <n v="37200"/>
    <n v="37200"/>
    <n v="0"/>
    <n v="37200"/>
    <m/>
    <n v="0"/>
    <n v="37200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5"/>
    <x v="12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6"/>
    <x v="124"/>
    <n v="14974500"/>
    <n v="14974500"/>
    <n v="0"/>
    <n v="14974500"/>
    <m/>
    <n v="7297000"/>
    <n v="7677500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7"/>
    <x v="12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8"/>
    <x v="12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9"/>
    <x v="12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0"/>
    <x v="12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1"/>
    <x v="12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2"/>
    <x v="13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3"/>
    <x v="13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4"/>
    <x v="13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5"/>
    <x v="13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6"/>
    <x v="13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7"/>
    <x v="13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8"/>
    <x v="13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9"/>
    <x v="137"/>
    <n v="22709251.755363166"/>
    <n v="22709251.755363166"/>
    <n v="0"/>
    <n v="22709251.755363166"/>
    <m/>
    <n v="10374535.236988943"/>
    <n v="12334716.518374223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</r>
  <r>
    <x v="130"/>
    <x v="10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1"/>
    <x v="13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2"/>
    <x v="139"/>
    <n v="0"/>
    <n v="0"/>
    <n v="0"/>
    <n v="0"/>
    <m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</r>
  <r>
    <x v="133"/>
    <x v="140"/>
    <n v="0"/>
    <n v="0"/>
    <n v="0"/>
    <n v="0"/>
    <m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</r>
  <r>
    <x v="134"/>
    <x v="141"/>
    <n v="2858296.25"/>
    <n v="2858296.25"/>
    <n v="0"/>
    <n v="2858296.25"/>
    <m/>
    <m/>
    <m/>
    <n v="2858296.25"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5"/>
    <x v="14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n v="0"/>
    <n v="0"/>
    <n v="0"/>
    <n v="0"/>
    <m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</r>
  <r>
    <x v="0"/>
    <x v="0"/>
    <n v="0"/>
    <n v="0"/>
    <n v="0"/>
    <n v="0"/>
    <m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</r>
  <r>
    <x v="0"/>
    <x v="83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91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3"/>
    <x v="9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4"/>
    <x v="9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5"/>
    <x v="9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6"/>
    <x v="9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7"/>
    <x v="9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8"/>
    <x v="9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9"/>
    <x v="9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0"/>
    <x v="9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1"/>
    <x v="10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2"/>
    <x v="10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3"/>
    <x v="10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4"/>
    <x v="10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5"/>
    <x v="10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6"/>
    <x v="10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7"/>
    <x v="10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8"/>
    <x v="10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9"/>
    <x v="10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0"/>
    <x v="10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1"/>
    <x v="10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2"/>
    <x v="11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3"/>
    <x v="11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4"/>
    <x v="11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5"/>
    <x v="11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6"/>
    <x v="11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7"/>
    <x v="11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8"/>
    <x v="11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9"/>
    <x v="11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0"/>
    <x v="11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1"/>
    <x v="11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2"/>
    <x v="12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3"/>
    <x v="12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4"/>
    <x v="12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5"/>
    <x v="12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6"/>
    <x v="12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7"/>
    <x v="12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8"/>
    <x v="12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9"/>
    <x v="12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0"/>
    <x v="12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1"/>
    <x v="12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2"/>
    <x v="13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3"/>
    <x v="13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4"/>
    <x v="13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5"/>
    <x v="13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6"/>
    <x v="13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7"/>
    <x v="13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8"/>
    <x v="13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9"/>
    <x v="137"/>
    <n v="0"/>
    <n v="0"/>
    <n v="0"/>
    <n v="0"/>
    <m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</r>
  <r>
    <x v="130"/>
    <x v="10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1"/>
    <x v="13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2"/>
    <x v="139"/>
    <n v="0"/>
    <n v="0"/>
    <n v="0"/>
    <n v="0"/>
    <m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</r>
  <r>
    <x v="133"/>
    <x v="140"/>
    <n v="0"/>
    <n v="0"/>
    <n v="0"/>
    <n v="0"/>
    <m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</r>
  <r>
    <x v="134"/>
    <x v="14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5"/>
    <x v="14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n v="0"/>
    <n v="0"/>
    <n v="0"/>
    <n v="0"/>
    <m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</r>
  <r>
    <x v="0"/>
    <x v="8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91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6"/>
    <x v="14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7"/>
    <x v="14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8"/>
    <x v="14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9"/>
    <x v="14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0"/>
    <x v="14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1"/>
    <x v="14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2"/>
    <x v="14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3"/>
    <x v="15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4"/>
    <x v="15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5"/>
    <x v="15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6"/>
    <x v="15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7"/>
    <x v="15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8"/>
    <x v="15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9"/>
    <x v="15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0"/>
    <x v="15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1"/>
    <x v="15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2"/>
    <x v="15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3"/>
    <x v="16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4"/>
    <x v="16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5"/>
    <x v="16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6"/>
    <x v="16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7"/>
    <x v="16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8"/>
    <x v="16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9"/>
    <x v="16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0"/>
    <x v="16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1"/>
    <x v="16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2"/>
    <x v="16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3"/>
    <x v="17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4"/>
    <x v="17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5"/>
    <x v="17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6"/>
    <x v="17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7"/>
    <x v="17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8"/>
    <x v="17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9"/>
    <x v="17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0"/>
    <x v="17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1"/>
    <x v="17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2"/>
    <x v="17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3"/>
    <x v="18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4"/>
    <x v="18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5"/>
    <x v="18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6"/>
    <x v="18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7"/>
    <x v="18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8"/>
    <x v="18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9"/>
    <x v="18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0"/>
    <x v="18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1"/>
    <x v="18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2"/>
    <x v="18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3"/>
    <x v="19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4"/>
    <x v="19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5"/>
    <x v="19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6"/>
    <x v="19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7"/>
    <x v="19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8"/>
    <x v="19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9"/>
    <x v="19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0"/>
    <x v="19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1"/>
    <x v="19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2"/>
    <x v="19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3"/>
    <x v="20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4"/>
    <x v="20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5"/>
    <x v="202"/>
    <n v="0"/>
    <n v="0"/>
    <n v="0"/>
    <n v="0"/>
    <m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</r>
  <r>
    <x v="196"/>
    <x v="20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7"/>
    <x v="20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8"/>
    <x v="20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9"/>
    <x v="20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0"/>
    <x v="20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1"/>
    <x v="20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2"/>
    <x v="20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n v="81117638.814537749"/>
    <n v="81117638.425182343"/>
    <n v="0.38935540616512299"/>
    <n v="81117638.425182343"/>
    <m/>
    <m/>
    <m/>
    <m/>
    <m/>
    <m/>
    <m/>
    <m/>
    <m/>
    <m/>
    <n v="81117638.425182343"/>
    <m/>
    <m/>
    <m/>
    <m/>
    <m/>
    <m/>
    <m/>
    <m/>
    <m/>
    <m/>
    <m/>
    <m/>
    <m/>
    <m/>
    <m/>
    <m/>
    <m/>
    <m/>
    <m/>
    <m/>
    <m/>
  </r>
  <r>
    <x v="0"/>
    <x v="210"/>
    <n v="3676627.1907808813"/>
    <n v="3676627.1907808813"/>
    <n v="0"/>
    <n v="3676627.1907808813"/>
    <m/>
    <m/>
    <m/>
    <m/>
    <m/>
    <m/>
    <m/>
    <m/>
    <m/>
    <m/>
    <n v="3676627.1907808813"/>
    <m/>
    <m/>
    <m/>
    <m/>
    <m/>
    <m/>
    <m/>
    <m/>
    <m/>
    <m/>
    <m/>
    <m/>
    <m/>
    <m/>
    <m/>
    <m/>
    <m/>
    <m/>
    <m/>
    <m/>
    <m/>
  </r>
  <r>
    <x v="0"/>
    <x v="2"/>
    <n v="77441011.23375687"/>
    <n v="77441011.234401464"/>
    <n v="-6.4459443092346191E-4"/>
    <n v="77441011.234401464"/>
    <m/>
    <m/>
    <m/>
    <m/>
    <m/>
    <m/>
    <m/>
    <m/>
    <m/>
    <m/>
    <n v="77441011.234401464"/>
    <m/>
    <m/>
    <m/>
    <m/>
    <m/>
    <m/>
    <m/>
    <m/>
    <m/>
    <m/>
    <m/>
    <m/>
    <m/>
    <m/>
    <m/>
    <m/>
    <m/>
    <m/>
    <m/>
    <m/>
    <m/>
  </r>
  <r>
    <x v="0"/>
    <x v="211"/>
    <n v="2931706.9993554107"/>
    <n v="2931707"/>
    <n v="-6.4458930864930153E-4"/>
    <n v="2931707"/>
    <m/>
    <m/>
    <m/>
    <m/>
    <m/>
    <m/>
    <m/>
    <m/>
    <m/>
    <m/>
    <n v="2931707"/>
    <m/>
    <m/>
    <m/>
    <m/>
    <m/>
    <m/>
    <m/>
    <m/>
    <m/>
    <m/>
    <m/>
    <m/>
    <m/>
    <m/>
    <m/>
    <m/>
    <m/>
    <m/>
    <m/>
    <m/>
    <m/>
  </r>
  <r>
    <x v="0"/>
    <x v="211"/>
    <n v="74509304.234401464"/>
    <n v="74509304.234401464"/>
    <n v="0"/>
    <n v="74509304.234401464"/>
    <m/>
    <m/>
    <m/>
    <m/>
    <m/>
    <m/>
    <m/>
    <m/>
    <m/>
    <m/>
    <n v="74509304.234401464"/>
    <m/>
    <m/>
    <m/>
    <m/>
    <m/>
    <m/>
    <m/>
    <m/>
    <m/>
    <m/>
    <m/>
    <m/>
    <m/>
    <m/>
    <m/>
    <m/>
    <m/>
    <m/>
    <m/>
    <m/>
    <m/>
  </r>
  <r>
    <x v="0"/>
    <x v="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1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1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1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n v="51421"/>
    <n v="51421"/>
    <n v="0"/>
    <n v="51421"/>
    <m/>
    <n v="0"/>
    <n v="0"/>
    <n v="51421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</r>
  <r>
    <x v="0"/>
    <x v="83"/>
    <n v="51421"/>
    <n v="51421"/>
    <n v="0"/>
    <n v="51421"/>
    <n v="13"/>
    <n v="0"/>
    <n v="0"/>
    <n v="51421"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91"/>
    <m/>
    <n v="0"/>
    <n v="0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2"/>
    <x v="13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3"/>
    <x v="14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7"/>
    <x v="16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6"/>
    <x v="20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n v="5684490"/>
    <n v="5684490.2599999998"/>
    <n v="-0.25999999977648258"/>
    <n v="5684490.2599999998"/>
    <m/>
    <n v="257779.87"/>
    <n v="5426710"/>
    <n v="0"/>
    <n v="0"/>
    <n v="0"/>
    <n v="0"/>
    <n v="0"/>
    <n v="0"/>
    <n v="0"/>
    <n v="0.39"/>
    <m/>
    <m/>
    <m/>
    <m/>
    <m/>
    <m/>
    <m/>
    <m/>
    <m/>
    <m/>
    <m/>
    <m/>
    <m/>
    <m/>
    <m/>
    <m/>
    <m/>
    <m/>
    <m/>
    <m/>
    <m/>
  </r>
  <r>
    <x v="0"/>
    <x v="83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91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6"/>
    <x v="14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7"/>
    <x v="14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8"/>
    <x v="14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9"/>
    <x v="14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0"/>
    <x v="14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1"/>
    <x v="14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2"/>
    <x v="14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3"/>
    <x v="15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4"/>
    <x v="15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5"/>
    <x v="15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6"/>
    <x v="153"/>
    <n v="4273000"/>
    <n v="4273000"/>
    <n v="0"/>
    <n v="4273000"/>
    <m/>
    <m/>
    <n v="4273000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7"/>
    <x v="15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8"/>
    <x v="15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9"/>
    <x v="156"/>
    <n v="108000"/>
    <n v="108000"/>
    <n v="0"/>
    <n v="108000"/>
    <m/>
    <n v="10800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0"/>
    <x v="15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1"/>
    <x v="158"/>
    <n v="94976"/>
    <n v="94976"/>
    <n v="0"/>
    <n v="94976"/>
    <m/>
    <n v="94976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2"/>
    <x v="15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3"/>
    <x v="16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4"/>
    <x v="16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5"/>
    <x v="16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6"/>
    <x v="16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7"/>
    <x v="16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8"/>
    <x v="16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9"/>
    <x v="16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0"/>
    <x v="16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1"/>
    <x v="16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2"/>
    <x v="16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3"/>
    <x v="17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4"/>
    <x v="17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5"/>
    <x v="17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6"/>
    <x v="17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7"/>
    <x v="17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8"/>
    <x v="17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9"/>
    <x v="17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0"/>
    <x v="17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1"/>
    <x v="17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2"/>
    <x v="17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3"/>
    <x v="18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4"/>
    <x v="18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5"/>
    <x v="18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6"/>
    <x v="18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7"/>
    <x v="18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8"/>
    <x v="18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9"/>
    <x v="18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0"/>
    <x v="18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1"/>
    <x v="18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2"/>
    <x v="18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3"/>
    <x v="19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4"/>
    <x v="19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5"/>
    <x v="19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6"/>
    <x v="19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7"/>
    <x v="19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8"/>
    <x v="19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9"/>
    <x v="19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0"/>
    <x v="19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1"/>
    <x v="19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2"/>
    <x v="19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3"/>
    <x v="20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4"/>
    <x v="20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5"/>
    <x v="202"/>
    <n v="1208514.26"/>
    <n v="1208514.26"/>
    <n v="0"/>
    <n v="1208514.26"/>
    <m/>
    <n v="54803.87"/>
    <n v="1153710"/>
    <n v="0"/>
    <n v="0"/>
    <n v="0"/>
    <n v="0"/>
    <n v="0"/>
    <n v="0"/>
    <n v="0"/>
    <n v="0.39"/>
    <m/>
    <m/>
    <m/>
    <m/>
    <m/>
    <m/>
    <m/>
    <m/>
    <m/>
    <m/>
    <m/>
    <m/>
    <m/>
    <m/>
    <m/>
    <m/>
    <m/>
    <m/>
    <m/>
    <m/>
    <m/>
  </r>
  <r>
    <x v="196"/>
    <x v="20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7"/>
    <x v="20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8"/>
    <x v="20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9"/>
    <x v="20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0"/>
    <x v="20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1"/>
    <x v="20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2"/>
    <x v="20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3"/>
    <x v="21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4"/>
    <x v="21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5"/>
    <x v="21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n v="308000"/>
    <n v="308000"/>
    <n v="0"/>
    <n v="308000"/>
    <m/>
    <n v="30800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</r>
  <r>
    <x v="0"/>
    <x v="2"/>
    <n v="0"/>
    <n v="0"/>
    <n v="0"/>
    <n v="0"/>
    <m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</r>
  <r>
    <x v="0"/>
    <x v="83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3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n v="308000"/>
    <n v="308000"/>
    <n v="0"/>
    <n v="308000"/>
    <m/>
    <n v="30800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</r>
  <r>
    <x v="0"/>
    <x v="217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17"/>
    <n v="308000"/>
    <n v="308000"/>
    <n v="0"/>
    <n v="308000"/>
    <n v="14"/>
    <n v="30800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n v="16772127.758422859"/>
    <n v="16772128.208422858"/>
    <n v="-0.44999999925494194"/>
    <n v="16772128.208422858"/>
    <m/>
    <m/>
    <m/>
    <m/>
    <n v="16772128.208422858"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3"/>
    <n v="10497387"/>
    <n v="10497387"/>
    <n v="0"/>
    <n v="10497387"/>
    <m/>
    <m/>
    <m/>
    <m/>
    <n v="10497387"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n v="10497387"/>
    <n v="10497387"/>
    <n v="0"/>
    <n v="10497387"/>
    <m/>
    <m/>
    <m/>
    <m/>
    <n v="10497387"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m/>
    <n v="0"/>
    <n v="0"/>
    <n v="0"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n v="6274741.2084228592"/>
    <n v="6274741.2084228592"/>
    <n v="0"/>
    <n v="6274741.2084228592"/>
    <m/>
    <m/>
    <m/>
    <m/>
    <n v="6274741.2084228592"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91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3"/>
    <x v="9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4"/>
    <x v="9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5"/>
    <x v="9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6"/>
    <x v="9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7"/>
    <x v="96"/>
    <n v="5432675.9813184924"/>
    <n v="5432675.9813184924"/>
    <n v="0"/>
    <n v="5432675.9813184924"/>
    <m/>
    <m/>
    <m/>
    <m/>
    <n v="5432675.9813184924"/>
    <m/>
    <m/>
    <m/>
    <m/>
    <m/>
    <m/>
    <m/>
    <m/>
    <m/>
    <m/>
    <m/>
    <m/>
    <m/>
    <m/>
    <m/>
    <m/>
    <m/>
    <m/>
    <m/>
    <m/>
    <m/>
    <m/>
    <m/>
    <m/>
    <m/>
    <m/>
    <m/>
  </r>
  <r>
    <x v="88"/>
    <x v="9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9"/>
    <x v="9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0"/>
    <x v="9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1"/>
    <x v="10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2"/>
    <x v="10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3"/>
    <x v="10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4"/>
    <x v="10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5"/>
    <x v="10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9"/>
    <x v="10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0"/>
    <x v="10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1"/>
    <x v="10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2"/>
    <x v="11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3"/>
    <x v="11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4"/>
    <x v="11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5"/>
    <x v="11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6"/>
    <x v="11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7"/>
    <x v="11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8"/>
    <x v="11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9"/>
    <x v="11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0"/>
    <x v="11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1"/>
    <x v="11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2"/>
    <x v="12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3"/>
    <x v="12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4"/>
    <x v="12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6"/>
    <x v="12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7"/>
    <x v="12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8"/>
    <x v="12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9"/>
    <x v="12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0"/>
    <x v="12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1"/>
    <x v="12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2"/>
    <x v="13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3"/>
    <x v="13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4"/>
    <x v="13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5"/>
    <x v="13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6"/>
    <x v="13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7"/>
    <x v="13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8"/>
    <x v="13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9"/>
    <x v="137"/>
    <n v="842064.77710436634"/>
    <n v="842064.77710436634"/>
    <n v="0"/>
    <n v="842064.77710436634"/>
    <m/>
    <n v="0"/>
    <n v="0"/>
    <n v="0"/>
    <n v="842064.77710436634"/>
    <m/>
    <m/>
    <m/>
    <m/>
    <m/>
    <m/>
    <m/>
    <m/>
    <m/>
    <m/>
    <m/>
    <m/>
    <m/>
    <m/>
    <m/>
    <m/>
    <m/>
    <m/>
    <m/>
    <m/>
    <m/>
    <m/>
    <m/>
    <m/>
    <m/>
    <m/>
    <m/>
  </r>
  <r>
    <x v="130"/>
    <x v="10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1"/>
    <x v="13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2"/>
    <x v="139"/>
    <n v="0"/>
    <n v="0"/>
    <n v="0"/>
    <n v="0"/>
    <m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</r>
  <r>
    <x v="133"/>
    <x v="140"/>
    <n v="0"/>
    <n v="0"/>
    <n v="0"/>
    <n v="0"/>
    <m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</r>
  <r>
    <x v="134"/>
    <x v="14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5"/>
    <x v="14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91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6"/>
    <x v="14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7"/>
    <x v="14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8"/>
    <x v="14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39"/>
    <x v="14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0"/>
    <x v="14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1"/>
    <x v="14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2"/>
    <x v="14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3"/>
    <x v="15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4"/>
    <x v="15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5"/>
    <x v="15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6"/>
    <x v="15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7"/>
    <x v="15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8"/>
    <x v="15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49"/>
    <x v="15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0"/>
    <x v="15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1"/>
    <x v="15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2"/>
    <x v="15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3"/>
    <x v="16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4"/>
    <x v="16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5"/>
    <x v="16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6"/>
    <x v="16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7"/>
    <x v="16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8"/>
    <x v="16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59"/>
    <x v="16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0"/>
    <x v="16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1"/>
    <x v="16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2"/>
    <x v="16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3"/>
    <x v="17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4"/>
    <x v="17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5"/>
    <x v="17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6"/>
    <x v="17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7"/>
    <x v="17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8"/>
    <x v="17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69"/>
    <x v="17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0"/>
    <x v="17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1"/>
    <x v="17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2"/>
    <x v="17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3"/>
    <x v="18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4"/>
    <x v="18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5"/>
    <x v="18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6"/>
    <x v="18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7"/>
    <x v="18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8"/>
    <x v="18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9"/>
    <x v="18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0"/>
    <x v="18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1"/>
    <x v="18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2"/>
    <x v="18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3"/>
    <x v="19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4"/>
    <x v="19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5"/>
    <x v="192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6"/>
    <x v="19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7"/>
    <x v="19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8"/>
    <x v="19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89"/>
    <x v="19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0"/>
    <x v="19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1"/>
    <x v="198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2"/>
    <x v="19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3"/>
    <x v="20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4"/>
    <x v="201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5"/>
    <x v="202"/>
    <n v="0"/>
    <n v="0"/>
    <n v="0"/>
    <n v="0"/>
    <m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</r>
  <r>
    <x v="196"/>
    <x v="20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7"/>
    <x v="204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8"/>
    <x v="205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9"/>
    <x v="206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0"/>
    <x v="20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1"/>
    <x v="208"/>
    <n v="0.45"/>
    <n v="0.45"/>
    <n v="0"/>
    <n v="0.45"/>
    <m/>
    <m/>
    <m/>
    <m/>
    <n v="0.45"/>
    <m/>
    <m/>
    <m/>
    <m/>
    <m/>
    <m/>
    <m/>
    <m/>
    <m/>
    <m/>
    <m/>
    <m/>
    <m/>
    <m/>
    <m/>
    <m/>
    <m/>
    <m/>
    <m/>
    <m/>
    <m/>
    <m/>
    <m/>
    <m/>
    <m/>
    <m/>
    <m/>
  </r>
  <r>
    <x v="202"/>
    <x v="20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n v="0"/>
    <n v="0"/>
    <n v="0"/>
    <n v="0"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n v="0"/>
    <n v="0"/>
    <n v="0"/>
    <n v="0"/>
    <m/>
    <m/>
    <m/>
    <m/>
    <m/>
    <n v="0"/>
    <n v="0"/>
    <m/>
    <m/>
    <m/>
    <m/>
    <m/>
    <m/>
    <m/>
    <m/>
    <m/>
    <m/>
    <m/>
    <m/>
    <m/>
    <m/>
    <m/>
    <m/>
    <m/>
    <m/>
    <m/>
    <m/>
    <m/>
    <m/>
    <m/>
    <m/>
    <m/>
  </r>
  <r>
    <x v="0"/>
    <x v="83"/>
    <m/>
    <n v="0"/>
    <n v="0"/>
    <n v="0"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</r>
  <r>
    <x v="0"/>
    <x v="83"/>
    <m/>
    <n v="0"/>
    <n v="0"/>
    <n v="0"/>
    <m/>
    <m/>
    <m/>
    <m/>
    <m/>
    <n v="0"/>
    <n v="0"/>
    <m/>
    <m/>
    <m/>
    <m/>
    <m/>
    <m/>
    <m/>
    <m/>
    <m/>
    <m/>
    <m/>
    <m/>
    <m/>
    <m/>
    <m/>
    <m/>
    <m/>
    <m/>
    <m/>
    <m/>
    <m/>
    <m/>
    <m/>
    <m/>
    <m/>
  </r>
  <r>
    <x v="0"/>
    <x v="2"/>
    <n v="0"/>
    <n v="0"/>
    <n v="0"/>
    <n v="0"/>
    <m/>
    <m/>
    <m/>
    <m/>
    <m/>
    <n v="0"/>
    <n v="0"/>
    <m/>
    <m/>
    <m/>
    <m/>
    <m/>
    <m/>
    <m/>
    <m/>
    <m/>
    <m/>
    <m/>
    <m/>
    <m/>
    <m/>
    <m/>
    <m/>
    <m/>
    <m/>
    <m/>
    <m/>
    <m/>
    <m/>
    <m/>
    <m/>
    <m/>
  </r>
  <r>
    <x v="0"/>
    <x v="217"/>
    <m/>
    <n v="0"/>
    <n v="0"/>
    <n v="0"/>
    <m/>
    <m/>
    <m/>
    <m/>
    <m/>
    <n v="0"/>
    <n v="0"/>
    <m/>
    <m/>
    <m/>
    <m/>
    <m/>
    <m/>
    <m/>
    <m/>
    <m/>
    <m/>
    <m/>
    <m/>
    <m/>
    <m/>
    <m/>
    <m/>
    <m/>
    <m/>
    <m/>
    <m/>
    <m/>
    <m/>
    <m/>
    <m/>
    <m/>
  </r>
  <r>
    <x v="0"/>
    <x v="217"/>
    <n v="0"/>
    <n v="0"/>
    <n v="0"/>
    <n v="0"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n v="300841543.38453776"/>
    <n v="300841543.38518238"/>
    <n v="-6.4458930864930153E-4"/>
    <n v="300841543.38518238"/>
    <n v="0"/>
    <n v="84712249.990788579"/>
    <n v="115329809.12078856"/>
    <n v="2909717.25"/>
    <n v="16772128.208422858"/>
    <n v="0"/>
    <n v="0"/>
    <n v="0"/>
    <n v="0"/>
    <n v="0"/>
    <n v="81117638.8151823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n v="29312254.039624035"/>
    <n v="29312253.986379087"/>
    <n v="5.3244883689330891E-2"/>
    <n v="157718321.12374121"/>
    <m/>
    <n v="-33948346.760909997"/>
    <n v="-54267297.82308688"/>
    <n v="117527899.02102068"/>
    <n v="-0.44999999925494194"/>
    <n v="0"/>
    <n v="0"/>
    <n v="0"/>
    <n v="0"/>
    <n v="0"/>
    <n v="-6.4457207918167114E-4"/>
    <n v="-6694998"/>
    <n v="79480049.606689543"/>
    <n v="14953560"/>
    <n v="0"/>
    <n v="2091580.2528076195"/>
    <n v="0"/>
    <n v="0"/>
    <n v="0"/>
    <n v="0"/>
    <n v="0"/>
    <n v="0"/>
    <n v="0"/>
    <n v="14167162.406577878"/>
    <n v="0"/>
    <n v="0"/>
    <n v="0"/>
    <n v="0"/>
    <n v="0"/>
    <n v="24408712.8712871"/>
    <n v="0"/>
    <n v="0"/>
  </r>
  <r>
    <x v="0"/>
    <x v="0"/>
    <n v="-26229616.671423346"/>
    <n v="-26229616.671423346"/>
    <n v="0"/>
    <n v="0"/>
    <m/>
    <n v="-10711788.637058344"/>
    <n v="-15517828.034365002"/>
    <n v="0"/>
    <m/>
    <m/>
    <m/>
    <m/>
    <m/>
    <m/>
    <m/>
    <m/>
    <m/>
    <m/>
    <m/>
    <m/>
    <m/>
    <m/>
    <m/>
    <m/>
    <m/>
    <m/>
    <m/>
    <m/>
    <m/>
    <m/>
    <m/>
    <m/>
    <m/>
    <m/>
    <n v="26229616.671423346"/>
    <m/>
  </r>
  <r>
    <x v="206"/>
    <x v="218"/>
    <n v="-26229616.671423346"/>
    <n v="-26229616.671423346"/>
    <n v="0"/>
    <n v="0"/>
    <n v="15"/>
    <n v="-10711788.637058344"/>
    <n v="-15517828.034365002"/>
    <n v="0"/>
    <m/>
    <m/>
    <m/>
    <m/>
    <m/>
    <m/>
    <m/>
    <m/>
    <m/>
    <m/>
    <m/>
    <m/>
    <m/>
    <m/>
    <m/>
    <m/>
    <m/>
    <m/>
    <m/>
    <m/>
    <m/>
    <m/>
    <m/>
    <m/>
    <m/>
    <m/>
    <n v="26229616.671423346"/>
    <m/>
  </r>
  <r>
    <x v="207"/>
    <x v="219"/>
    <n v="0"/>
    <n v="0"/>
    <n v="0"/>
    <n v="0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n v="0"/>
    <m/>
  </r>
  <r>
    <x v="0"/>
    <x v="0"/>
    <n v="3082637.3682006896"/>
    <n v="3082637.3149557412"/>
    <n v="5.3244883689330891E-2"/>
    <n v="157718321.12374121"/>
    <m/>
    <n v="-44660135.397968337"/>
    <n v="-69785125.857451886"/>
    <n v="117527899.02102068"/>
    <n v="-0.44999999925494194"/>
    <n v="0"/>
    <n v="0"/>
    <n v="0"/>
    <n v="0"/>
    <n v="0"/>
    <n v="-6.4457207918167114E-4"/>
    <n v="-6694998"/>
    <n v="79480049.606689543"/>
    <n v="14953560"/>
    <n v="0"/>
    <n v="2091580.2528076195"/>
    <n v="0"/>
    <n v="0"/>
    <n v="0"/>
    <n v="0"/>
    <n v="0"/>
    <n v="0"/>
    <n v="0"/>
    <n v="14167162.406577878"/>
    <n v="0"/>
    <n v="0"/>
    <n v="0"/>
    <n v="0"/>
    <n v="0"/>
    <n v="24408712.8712871"/>
    <n v="26229616.671423346"/>
    <n v="0"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n v="-5.6582599878311157E-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20"/>
    <n v="263680366.75273845"/>
    <n v="263680366.70013818"/>
    <n v="5.2600264549255371E-2"/>
    <n v="418316050.50892359"/>
    <m/>
    <n v="69499071.80890657"/>
    <n v="88578293.971289158"/>
    <n v="0"/>
    <n v="6274740.758422859"/>
    <n v="0"/>
    <n v="0"/>
    <n v="0"/>
    <n v="0"/>
    <n v="0"/>
    <n v="99328260.161519602"/>
    <n v="-6694998"/>
    <n v="79480049.606689543"/>
    <n v="14953560"/>
    <n v="0"/>
    <n v="2091580.2528076195"/>
    <n v="0"/>
    <n v="0"/>
    <n v="0"/>
    <n v="0"/>
    <n v="0"/>
    <n v="0"/>
    <n v="0"/>
    <n v="14167162.406577878"/>
    <n v="0"/>
    <n v="0"/>
    <n v="0"/>
    <n v="0"/>
    <n v="0"/>
    <n v="24408712.8712871"/>
    <n v="26229616.671423346"/>
    <n v="0"/>
  </r>
  <r>
    <x v="0"/>
    <x v="0"/>
    <n v="263680366.69615585"/>
    <n v="263680366.70013809"/>
    <n v="-3.982245922088623E-3"/>
    <n v="182272877.32265812"/>
    <m/>
    <n v="38398889.592820182"/>
    <n v="45544683.263336658"/>
    <n v="96021041.461801559"/>
    <n v="6274740.758422859"/>
    <n v="0"/>
    <n v="0"/>
    <n v="0"/>
    <n v="0"/>
    <n v="0"/>
    <n v="77441011.623756886"/>
    <n v="-6694998"/>
    <n v="79480049.606689543"/>
    <n v="14953560"/>
    <n v="0"/>
    <n v="2091580.2528076195"/>
    <n v="0"/>
    <n v="0"/>
    <n v="0"/>
    <n v="0"/>
    <n v="0"/>
    <n v="0"/>
    <n v="0"/>
    <n v="14167162.406577878"/>
    <n v="-18209643.291995808"/>
    <n v="-217366796.69604406"/>
    <n v="0"/>
    <n v="-466733.1982256826"/>
    <n v="0"/>
    <n v="24408712.8712871"/>
    <n v="26229616.671423346"/>
    <n v="0"/>
  </r>
  <r>
    <x v="0"/>
    <x v="0"/>
    <m/>
    <n v="213359970.25272799"/>
    <n v="-213359970.25272799"/>
    <n v="145034684.21546948"/>
    <m/>
    <n v="36057238.240551472"/>
    <n v="51599327.964175999"/>
    <n v="68514357.458626986"/>
    <n v="5436022.2084228592"/>
    <n v="0"/>
    <n v="0"/>
    <n v="0"/>
    <n v="0"/>
    <n v="0"/>
    <n v="51753024.380950734"/>
    <n v="-1385830"/>
    <n v="68856281.306689546"/>
    <n v="14953560"/>
    <n v="0"/>
    <n v="1812007.4028076194"/>
    <n v="0"/>
    <n v="0"/>
    <n v="0"/>
    <n v="0"/>
    <n v="0"/>
    <n v="0"/>
    <n v="0"/>
    <n v="14167162.406577878"/>
    <n v="0"/>
    <n v="-217366796.69604406"/>
    <n v="0"/>
    <n v="0"/>
    <n v="0"/>
    <n v="24408712.8712871"/>
    <n v="26229616.671423346"/>
    <n v="0"/>
  </r>
  <r>
    <x v="0"/>
    <x v="0"/>
    <m/>
    <n v="50320396.447410122"/>
    <n v="-50320396.447410122"/>
    <n v="37238193.107188627"/>
    <m/>
    <n v="2341651.3522687298"/>
    <n v="-6054644.7008393537"/>
    <n v="27506684.003174581"/>
    <n v="838718.54999999993"/>
    <n v="0"/>
    <n v="0"/>
    <n v="0"/>
    <n v="0"/>
    <n v="0"/>
    <n v="25687987.242806152"/>
    <n v="-5309168"/>
    <n v="10623768.300000001"/>
    <n v="0"/>
    <n v="0"/>
    <n v="279572.84999999998"/>
    <n v="0"/>
    <n v="0"/>
    <n v="0"/>
    <n v="0"/>
    <n v="0"/>
    <n v="0"/>
    <n v="0"/>
    <n v="0"/>
    <n v="-18209643.291995808"/>
    <n v="0"/>
    <n v="0"/>
    <n v="-466733.1982256826"/>
    <n v="0"/>
    <n v="0"/>
    <n v="0"/>
    <n v="0"/>
  </r>
  <r>
    <x v="0"/>
    <x v="220"/>
    <n v="40243814"/>
    <n v="40243814"/>
    <n v="0"/>
    <n v="40243814"/>
    <m/>
    <n v="1653225"/>
    <n v="0"/>
    <n v="24416574.809219118"/>
    <n v="10497387"/>
    <n v="0"/>
    <n v="0"/>
    <n v="0"/>
    <n v="0"/>
    <n v="0"/>
    <n v="3676627.19078088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n v="303924180.69615585"/>
    <n v="303924180.70013809"/>
    <n v="-3.982245922088623E-3"/>
    <n v="222516691.32265812"/>
    <m/>
    <n v="40052114.592820182"/>
    <n v="45544683.263336658"/>
    <n v="120437616.27102068"/>
    <n v="16772127.758422859"/>
    <n v="0"/>
    <n v="0"/>
    <n v="0"/>
    <n v="0"/>
    <n v="0"/>
    <n v="81117638.814537764"/>
    <n v="-6694998"/>
    <n v="79480049.606689543"/>
    <n v="14953560"/>
    <n v="0"/>
    <n v="2091580.2528076195"/>
    <n v="0"/>
    <n v="0"/>
    <n v="0"/>
    <n v="0"/>
    <n v="0"/>
    <n v="0"/>
    <n v="0"/>
    <n v="14167162.406577878"/>
    <n v="-18209643.291995808"/>
    <n v="-217366796.69604406"/>
    <n v="0"/>
    <n v="-466733.1982256826"/>
    <n v="0"/>
    <n v="24408712.8712871"/>
    <n v="26229616.671423346"/>
    <n v="0"/>
  </r>
  <r>
    <x v="0"/>
    <x v="220"/>
    <n v="300841542.97089612"/>
    <n v="300841543.38518232"/>
    <n v="-0.41428623162209988"/>
    <n v="300841543.38518232"/>
    <m/>
    <n v="84712249.990788579"/>
    <n v="115329809.12078856"/>
    <n v="2909717.25"/>
    <n v="16772128.208422858"/>
    <n v="0"/>
    <n v="0"/>
    <n v="0"/>
    <n v="0"/>
    <n v="0"/>
    <n v="81117638.8151823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220"/>
    <n v="263043689.19375688"/>
    <n v="263043689.19440147"/>
    <n v="-6.4458930864930153E-4"/>
    <n v="263043689.19440147"/>
    <m/>
    <n v="78693870.990788579"/>
    <n v="97775769.120788559"/>
    <n v="2858296.25"/>
    <n v="6274741.2084228592"/>
    <n v="0"/>
    <n v="0"/>
    <n v="0"/>
    <n v="0"/>
    <n v="0"/>
    <n v="77441011.62440146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220"/>
    <n v="37797854.190780878"/>
    <n v="37797854.190780878"/>
    <n v="0"/>
    <n v="37797854.190780878"/>
    <m/>
    <n v="6018379"/>
    <n v="17554040"/>
    <n v="51421"/>
    <n v="10497387"/>
    <n v="0"/>
    <n v="0"/>
    <n v="0"/>
    <n v="0"/>
    <n v="0"/>
    <n v="3676627.19078088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220"/>
    <n v="300841543.38453776"/>
    <n v="300841543.38518238"/>
    <n v="-6.4458930864930153E-4"/>
    <n v="300841543.38518238"/>
    <m/>
    <n v="84712249.990788579"/>
    <n v="115329809.12078856"/>
    <n v="2909717.25"/>
    <n v="16772128.208422858"/>
    <n v="0"/>
    <n v="0"/>
    <n v="0"/>
    <n v="0"/>
    <n v="0"/>
    <n v="81117638.8151823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n v="636677.50239896774"/>
    <n v="636677.50573661923"/>
    <n v="-3.3376566134393215E-3"/>
    <n v="-80770811.871743351"/>
    <m/>
    <n v="-40294981.397968397"/>
    <n v="-52231085.857451901"/>
    <n v="93162745.211801559"/>
    <n v="-0.45000000018626451"/>
    <n v="0"/>
    <n v="0"/>
    <n v="0"/>
    <n v="0"/>
    <n v="0"/>
    <n v="-6.4457952976226807E-4"/>
    <n v="-6694998"/>
    <n v="79480049.606689543"/>
    <n v="14953560"/>
    <n v="0"/>
    <n v="2091580.2528076195"/>
    <n v="0"/>
    <n v="0"/>
    <n v="0"/>
    <n v="0"/>
    <n v="0"/>
    <n v="0"/>
    <n v="0"/>
    <n v="14167162.406577878"/>
    <n v="-18209643.291995808"/>
    <n v="-217366796.69604406"/>
    <n v="0"/>
    <n v="-466733.1982256826"/>
    <n v="0"/>
    <n v="24408712.8712871"/>
    <n v="26229616.671423346"/>
    <n v="0"/>
  </r>
  <r>
    <x v="0"/>
    <x v="0"/>
    <n v="2445959.8092191219"/>
    <n v="2445959.8092191219"/>
    <n v="0"/>
    <n v="2445959.8092191219"/>
    <m/>
    <n v="-4365154"/>
    <n v="-17554040"/>
    <n v="24365153.8092191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220"/>
    <n v="3082637.3116180897"/>
    <n v="3082637.3149557114"/>
    <n v="-3.3376566134393215E-3"/>
    <n v="-78324852.062524259"/>
    <m/>
    <n v="-44660135.397968397"/>
    <n v="-69785125.857451901"/>
    <n v="117527899.02102068"/>
    <n v="-0.44999999925494194"/>
    <n v="0"/>
    <n v="0"/>
    <n v="0"/>
    <n v="0"/>
    <n v="0"/>
    <n v="-6.4457952976226807E-4"/>
    <n v="-6694998"/>
    <n v="79480049.606689543"/>
    <n v="14953560"/>
    <n v="0"/>
    <n v="2091580.2528076195"/>
    <n v="0"/>
    <n v="0"/>
    <n v="0"/>
    <n v="0"/>
    <n v="0"/>
    <n v="0"/>
    <n v="0"/>
    <n v="14167162.406577878"/>
    <n v="-18209643.291995808"/>
    <n v="-217366796.69604406"/>
    <n v="0"/>
    <n v="-466733.1982256826"/>
    <n v="0"/>
    <n v="24408712.8712871"/>
    <n v="26229616.671423346"/>
    <n v="0"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n v="0"/>
    <n v="8.149072527885437E-10"/>
    <n v="-8.149072527885437E-10"/>
    <n v="8.149072527885437E-10"/>
    <m/>
    <n v="44660135.400237098"/>
    <n v="69785125.857451931"/>
    <n v="-114445261.70768903"/>
    <n v="0.450000000069849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08"/>
    <x v="221"/>
    <n v="0"/>
    <n v="8.149072527885437E-10"/>
    <n v="-8.149072527885437E-10"/>
    <n v="8.149072527885437E-10"/>
    <m/>
    <n v="0"/>
    <n v="27382364.700839356"/>
    <n v="-27382365.150839355"/>
    <n v="0.45000000006984919"/>
    <m/>
    <m/>
    <m/>
    <m/>
    <m/>
    <n v="0"/>
    <m/>
    <m/>
    <m/>
    <m/>
    <m/>
    <m/>
    <m/>
    <m/>
    <m/>
    <m/>
    <m/>
    <m/>
    <m/>
    <m/>
    <m/>
    <m/>
    <m/>
    <m/>
    <m/>
    <m/>
    <m/>
  </r>
  <r>
    <x v="209"/>
    <x v="222"/>
    <n v="0"/>
    <n v="0"/>
    <n v="0"/>
    <n v="0"/>
    <m/>
    <n v="40294981.400237098"/>
    <n v="24848721.156612575"/>
    <n v="-65143702.556849673"/>
    <n v="0"/>
    <m/>
    <m/>
    <m/>
    <m/>
    <m/>
    <n v="0"/>
    <m/>
    <m/>
    <m/>
    <m/>
    <m/>
    <m/>
    <m/>
    <m/>
    <m/>
    <m/>
    <m/>
    <m/>
    <m/>
    <m/>
    <m/>
    <m/>
    <m/>
    <m/>
    <m/>
    <m/>
    <m/>
  </r>
  <r>
    <x v="0"/>
    <x v="83"/>
    <n v="0"/>
    <n v="0"/>
    <n v="0"/>
    <n v="0"/>
    <m/>
    <n v="4365154"/>
    <n v="17554040"/>
    <n v="-21919194"/>
    <n v="0"/>
    <m/>
    <m/>
    <m/>
    <m/>
    <m/>
    <n v="0"/>
    <m/>
    <m/>
    <m/>
    <m/>
    <m/>
    <m/>
    <m/>
    <m/>
    <m/>
    <m/>
    <m/>
    <m/>
    <m/>
    <m/>
    <m/>
    <m/>
    <m/>
    <m/>
    <m/>
    <m/>
    <m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8"/>
    <x v="221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9"/>
    <x v="222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3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n v="3082637.3116180897"/>
    <n v="3082637.3149557719"/>
    <n v="-3.3376822248101234E-3"/>
    <n v="-78324852.062524289"/>
    <m/>
    <n v="2.2687017917633057E-3"/>
    <n v="0"/>
    <n v="3082637.3133316487"/>
    <n v="8.149072527885437E-10"/>
    <n v="0"/>
    <n v="0"/>
    <n v="0"/>
    <n v="0"/>
    <n v="0"/>
    <n v="-6.4457952976226807E-4"/>
    <n v="-6694998"/>
    <n v="79480049.606689543"/>
    <n v="14953560"/>
    <n v="0"/>
    <n v="2091580.2528076195"/>
    <n v="0"/>
    <n v="0"/>
    <n v="0"/>
    <n v="0"/>
    <n v="0"/>
    <n v="0"/>
    <n v="0"/>
    <n v="14167162.406577878"/>
    <n v="-18209643.291995808"/>
    <n v="-217366796.69604406"/>
    <n v="0"/>
    <n v="-466733.1982256826"/>
    <n v="0"/>
    <n v="24408712.8712871"/>
    <n v="26229616.671423346"/>
    <n v="0"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4"/>
    <x v="6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x v="62"/>
    <x v="6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63">
  <r>
    <m/>
    <x v="0"/>
    <x v="0"/>
    <x v="0"/>
    <m/>
    <x v="0"/>
    <x v="0"/>
    <m/>
    <s v="2.A ÖSSZEGEI"/>
    <s v="TERVEZETT"/>
    <m/>
    <m/>
    <m/>
    <s v="C131SANYI"/>
    <s v="D131SBIOL"/>
    <s v="D131SFIZT"/>
    <s v="D131SFOLD"/>
    <s v="D131SKEMT"/>
    <s v="C131SMIRT"/>
    <s v="C131SMNYT"/>
    <s v="D131SMATT"/>
    <s v="C131SVIZM"/>
    <s v="C131SNNYI"/>
    <s v="C131SSZLA"/>
    <s v="C131STORT"/>
    <s v="C131SZENE"/>
    <s v="N14803/17"/>
    <s v="C13101/17"/>
    <s v="D13101/17"/>
    <s v="N14804/17"/>
    <s v="SC10801/17"/>
    <s v="S39019/19"/>
    <s v="K04801/17"/>
    <m/>
    <m/>
    <m/>
    <m/>
    <m/>
    <s v="USZGEFIN22"/>
    <s v="USZGEFIN28"/>
    <s v="USZKAROBDP"/>
    <s v="KOZTERSZH"/>
    <s v="ELOIRCSOK"/>
    <s v="AKTHSZHELY"/>
    <s v="K07002/17"/>
    <s v="R10601/18"/>
    <s v="K06301/19"/>
    <s v="RR9704/14"/>
    <s v="KK9702/16"/>
    <s v="KK9701/16"/>
    <s v="R13101/16"/>
    <s v="R13201/16"/>
    <s v="ANYKRIVIZS"/>
    <s v="T20102/18"/>
  </r>
  <r>
    <m/>
    <x v="0"/>
    <x v="0"/>
    <x v="0"/>
    <m/>
    <x v="0"/>
    <x v="0"/>
    <m/>
    <m/>
    <m/>
    <m/>
    <m/>
    <m/>
    <s v="C1201"/>
    <s v="D0671"/>
    <s v="D0674"/>
    <s v="D0673"/>
    <s v="D0672"/>
    <s v="C1203"/>
    <s v="C1204"/>
    <s v="D0675"/>
    <s v="C1205"/>
    <s v="C1202"/>
    <s v="C1206"/>
    <s v="C1207"/>
    <s v="C1208"/>
    <s v="N0636"/>
    <s v="C1200"/>
    <s v="S0000"/>
    <s v="S0000"/>
    <s v="C1200"/>
    <s v="S0000"/>
    <s v="S0000"/>
    <s v="S0000"/>
    <s v="S0000"/>
    <s v="S0000"/>
    <s v="S0000"/>
    <s v="S0000"/>
    <s v="S0000"/>
    <s v="S0000"/>
    <s v="S0000"/>
    <s v="S0000"/>
    <s v="S0000"/>
    <s v="S0000"/>
    <s v="S0000"/>
    <s v="S0000"/>
    <s v="S0000"/>
    <s v="S0000"/>
    <s v="S0000"/>
    <s v="S0000"/>
    <s v="S0000"/>
    <s v="S0000"/>
    <s v="S0000"/>
    <s v="S0000"/>
  </r>
  <r>
    <n v="2"/>
    <x v="1"/>
    <x v="1"/>
    <x v="0"/>
    <s v="Támogatás allokáció célszervezetre (2019. évi felosztási logika)"/>
    <x v="1"/>
    <x v="0"/>
    <s v="ÖSSZEGZŐ SOR"/>
    <n v="373331758"/>
    <n v="373331757.81012022"/>
    <n v="0.18987977504730225"/>
    <n v="373331757.81012022"/>
    <m/>
    <n v="97510865.560839713"/>
    <n v="15670133.047280721"/>
    <n v="2682970.038435569"/>
    <n v="23497848.324401826"/>
    <n v="6514115.3525451608"/>
    <n v="32992407.970712714"/>
    <n v="17889605.956597392"/>
    <n v="32092403.908097994"/>
    <n v="38335851.550409704"/>
    <n v="23927299.492150623"/>
    <n v="2615316.0762326214"/>
    <n v="68182457.749455661"/>
    <n v="11420482.782960525"/>
    <n v="0"/>
    <n v="0"/>
    <n v="0"/>
    <m/>
    <m/>
    <m/>
    <m/>
    <m/>
    <m/>
    <m/>
    <m/>
    <m/>
    <m/>
    <m/>
    <m/>
    <m/>
    <m/>
    <m/>
    <m/>
    <m/>
    <m/>
    <m/>
    <m/>
    <m/>
    <m/>
    <m/>
    <m/>
    <m/>
  </r>
  <r>
    <m/>
    <x v="2"/>
    <x v="1"/>
    <x v="1"/>
    <s v="Képzési támogatás tervezése képzési munkaszámokra"/>
    <x v="2"/>
    <x v="1"/>
    <s v="Működési költségvetés támogatása - Képzés"/>
    <n v="553682093.97319067"/>
    <n v="553682093.97319067"/>
    <n v="0"/>
    <n v="553682093.97319067"/>
    <m/>
    <m/>
    <m/>
    <m/>
    <m/>
    <m/>
    <m/>
    <m/>
    <m/>
    <m/>
    <m/>
    <m/>
    <m/>
    <m/>
    <m/>
    <m/>
    <m/>
    <m/>
    <m/>
    <m/>
    <m/>
    <m/>
    <m/>
    <m/>
    <m/>
    <n v="553682093.97319067"/>
    <m/>
    <m/>
    <m/>
    <m/>
    <m/>
    <m/>
    <m/>
    <m/>
    <m/>
    <m/>
    <m/>
    <m/>
    <m/>
    <m/>
    <m/>
    <m/>
  </r>
  <r>
    <m/>
    <x v="3"/>
    <x v="1"/>
    <x v="1"/>
    <s v="Átoktatás átadás, támogatás"/>
    <x v="2"/>
    <x v="2"/>
    <s v="T Átoktatásra támogatás ÁTADÁS"/>
    <n v="-191715083.87766045"/>
    <n v="-191715083.87766045"/>
    <n v="0"/>
    <n v="0"/>
    <m/>
    <m/>
    <m/>
    <m/>
    <m/>
    <m/>
    <m/>
    <m/>
    <m/>
    <m/>
    <m/>
    <m/>
    <m/>
    <m/>
    <m/>
    <m/>
    <m/>
    <m/>
    <m/>
    <m/>
    <m/>
    <m/>
    <m/>
    <m/>
    <m/>
    <n v="-191715083.87766045"/>
    <m/>
    <m/>
    <m/>
    <m/>
    <m/>
    <m/>
    <m/>
    <m/>
    <m/>
    <m/>
    <m/>
    <m/>
    <m/>
    <m/>
    <m/>
    <m/>
  </r>
  <r>
    <m/>
    <x v="4"/>
    <x v="1"/>
    <x v="0"/>
    <s v="Átoktatással csökkentett képzési támogatás áthozatala képzési munkaszámokról intézetekre / tanszékekre, általános munkaszámra, hivatalokra"/>
    <x v="3"/>
    <x v="3"/>
    <s v="T Képzési finanszírozás átadás"/>
    <n v="361967010.09553021"/>
    <n v="-8.9406967163085938E-7"/>
    <n v="361967010.09553111"/>
    <n v="-8.9406967163085938E-7"/>
    <s v="22.b2"/>
    <n v="78430847.476149932"/>
    <n v="11095747.145699525"/>
    <n v="1818263.1375536136"/>
    <n v="15419891.047735991"/>
    <n v="2876751.6463907445"/>
    <n v="26932576.007376436"/>
    <n v="12065869.42589304"/>
    <n v="18344201.647408683"/>
    <n v="33358624.127466518"/>
    <n v="19241749.531416051"/>
    <n v="1817505.3408855549"/>
    <n v="48061545.425120041"/>
    <n v="8109421.3417868251"/>
    <n v="0"/>
    <m/>
    <n v="84394016.794646353"/>
    <m/>
    <m/>
    <m/>
    <m/>
    <m/>
    <m/>
    <m/>
    <m/>
    <n v="-361967010.09553021"/>
    <m/>
    <m/>
    <m/>
    <m/>
    <m/>
    <m/>
    <m/>
    <m/>
    <m/>
    <m/>
    <m/>
    <m/>
    <m/>
    <m/>
    <m/>
    <m/>
  </r>
  <r>
    <m/>
    <x v="4"/>
    <x v="1"/>
    <x v="0"/>
    <s v="Képzési támogatás felosztása általános munkaszámról intézetekre / tanszékekre"/>
    <x v="3"/>
    <x v="3"/>
    <s v="T Képzési finanszírozás átadás"/>
    <n v="0"/>
    <n v="0"/>
    <n v="0"/>
    <n v="0"/>
    <n v="3"/>
    <n v="18866239.249315139"/>
    <n v="4320512.8051866731"/>
    <n v="864102.56103733461"/>
    <n v="5904700.8337551206"/>
    <n v="2160256.4025933365"/>
    <n v="5760683.740248898"/>
    <n v="5760683.740248898"/>
    <n v="8208974.3298546793"/>
    <n v="4752564.0857053408"/>
    <n v="4608546.9921991182"/>
    <n v="576068.37402488978"/>
    <n v="20018375.99736492"/>
    <n v="2592307.6831120038"/>
    <n v="0"/>
    <m/>
    <n v="-84394016.794646353"/>
    <m/>
    <m/>
    <m/>
    <m/>
    <m/>
    <m/>
    <m/>
    <m/>
    <m/>
    <m/>
    <m/>
    <m/>
    <m/>
    <m/>
    <m/>
    <m/>
    <m/>
    <m/>
    <m/>
    <m/>
    <m/>
    <m/>
    <m/>
    <m/>
    <m/>
  </r>
  <r>
    <m/>
    <x v="5"/>
    <x v="1"/>
    <x v="2"/>
    <s v="Átoktatás átvétel, támogatás"/>
    <x v="3"/>
    <x v="4"/>
    <s v="T Átoktatásra támogatás ÁTVÉTEL"/>
    <n v="11364747.714590909"/>
    <n v="11364747.714590911"/>
    <n v="0"/>
    <n v="0"/>
    <s v="22.b3"/>
    <n v="200584.08210041808"/>
    <n v="250851.39717141984"/>
    <n v="0"/>
    <n v="2169126.7873058068"/>
    <n v="1475596.4539495283"/>
    <n v="295119.2907899057"/>
    <n v="59023.858157981143"/>
    <n v="5533486.7023107316"/>
    <n v="221339.46809242928"/>
    <n v="73779.822697476411"/>
    <n v="221339.46809242928"/>
    <n v="88535.787236971708"/>
    <n v="716940.73852783185"/>
    <n v="0"/>
    <m/>
    <n v="59023.858157981143"/>
    <m/>
    <m/>
    <m/>
    <m/>
    <m/>
    <m/>
    <m/>
    <m/>
    <m/>
    <m/>
    <m/>
    <m/>
    <m/>
    <m/>
    <m/>
    <m/>
    <m/>
    <m/>
    <m/>
    <m/>
    <m/>
    <m/>
    <m/>
    <m/>
    <m/>
  </r>
  <r>
    <m/>
    <x v="5"/>
    <x v="1"/>
    <x v="2"/>
    <s v="Átoktatás átvétel, támogatás felosztása általános munkaszámról intézetekre / tanszékekre"/>
    <x v="3"/>
    <x v="4"/>
    <s v="T Átoktatásra támogatás ÁTVÉTEL"/>
    <n v="0"/>
    <n v="0"/>
    <n v="0"/>
    <n v="0"/>
    <n v="3"/>
    <n v="13194.753274224453"/>
    <n v="3021.6992231048366"/>
    <n v="604.33984462096737"/>
    <n v="4129.6556049099436"/>
    <n v="1510.8496115524183"/>
    <n v="4028.9322974731158"/>
    <n v="4028.9322974731158"/>
    <n v="5741.2285238991899"/>
    <n v="3323.8691454153204"/>
    <n v="3223.1458379784926"/>
    <n v="402.89322974731158"/>
    <n v="14000.539733719077"/>
    <n v="1813.0195338629019"/>
    <n v="0"/>
    <m/>
    <n v="-59023.858157981143"/>
    <m/>
    <m/>
    <m/>
    <m/>
    <m/>
    <m/>
    <m/>
    <m/>
    <m/>
    <m/>
    <m/>
    <m/>
    <m/>
    <m/>
    <m/>
    <m/>
    <m/>
    <m/>
    <m/>
    <m/>
    <m/>
    <m/>
    <m/>
    <m/>
    <m/>
  </r>
  <r>
    <n v="4"/>
    <x v="6"/>
    <x v="1"/>
    <x v="0"/>
    <s v="Képzési saját bevételek célszervezetre"/>
    <x v="1"/>
    <x v="0"/>
    <s v="ÖSSZEGZŐ SOR"/>
    <n v="57906340.970469043"/>
    <n v="57906340.970469013"/>
    <n v="0"/>
    <n v="57906340.970469013"/>
    <m/>
    <n v="14337638.126009705"/>
    <n v="2545109.4358309372"/>
    <n v="810254.42506751022"/>
    <n v="2569018.1978326957"/>
    <n v="3315596.0890816161"/>
    <n v="3228929.0239812722"/>
    <n v="1587259.7084173774"/>
    <n v="13427040.55962188"/>
    <n v="3510008.7147009009"/>
    <n v="3093760.0533428662"/>
    <n v="1175784.7018386193"/>
    <n v="7108016.2708378173"/>
    <n v="1197925.6639058143"/>
    <n v="0"/>
    <m/>
    <n v="0"/>
    <m/>
    <m/>
    <m/>
    <m/>
    <m/>
    <m/>
    <m/>
    <m/>
    <m/>
    <m/>
    <m/>
    <m/>
    <m/>
    <m/>
    <m/>
    <m/>
    <m/>
    <m/>
    <m/>
    <m/>
    <m/>
    <m/>
    <m/>
    <m/>
    <m/>
  </r>
  <r>
    <m/>
    <x v="7"/>
    <x v="1"/>
    <x v="3"/>
    <s v="Önköltséges képzési bevétel tervezése képzési munkaszámokra"/>
    <x v="2"/>
    <x v="5"/>
    <s v="Ell.díjak - Neptun - Önktg. Költségtérítés"/>
    <n v="61515000.00000003"/>
    <n v="61515000.00000003"/>
    <n v="0"/>
    <n v="61515000.00000003"/>
    <m/>
    <m/>
    <m/>
    <m/>
    <m/>
    <m/>
    <m/>
    <m/>
    <m/>
    <m/>
    <m/>
    <m/>
    <m/>
    <m/>
    <m/>
    <m/>
    <m/>
    <m/>
    <m/>
    <m/>
    <m/>
    <m/>
    <m/>
    <m/>
    <m/>
    <n v="61515000.00000003"/>
    <m/>
    <m/>
    <m/>
    <m/>
    <m/>
    <m/>
    <m/>
    <m/>
    <m/>
    <m/>
    <m/>
    <m/>
    <m/>
    <m/>
    <m/>
    <m/>
  </r>
  <r>
    <m/>
    <x v="8"/>
    <x v="1"/>
    <x v="3"/>
    <s v="Átoktatás átadás, önköltséges"/>
    <x v="2"/>
    <x v="6"/>
    <s v="SB Átoktatásra bevétel ÁTADÁS"/>
    <n v="-9668163.2498108186"/>
    <n v="-9668163.2498108186"/>
    <n v="0"/>
    <n v="0"/>
    <m/>
    <m/>
    <m/>
    <m/>
    <m/>
    <m/>
    <m/>
    <m/>
    <m/>
    <m/>
    <m/>
    <m/>
    <m/>
    <m/>
    <m/>
    <m/>
    <m/>
    <m/>
    <m/>
    <m/>
    <m/>
    <m/>
    <m/>
    <m/>
    <m/>
    <n v="-9668163.2498108186"/>
    <m/>
    <m/>
    <m/>
    <m/>
    <m/>
    <m/>
    <m/>
    <m/>
    <m/>
    <m/>
    <m/>
    <m/>
    <m/>
    <m/>
    <m/>
    <m/>
  </r>
  <r>
    <m/>
    <x v="9"/>
    <x v="1"/>
    <x v="0"/>
    <s v="Átoktatással csökkentett önköltséges képzési bevétel áthozatala képzési munkaszámokról intézetekre / tanszékekre, általános munkaszámra, hivatalokra"/>
    <x v="3"/>
    <x v="7"/>
    <s v="SB Képzési finanszírozás átadás"/>
    <n v="51846836.750189215"/>
    <n v="0"/>
    <n v="51846836.750189215"/>
    <n v="0"/>
    <s v="22.b2"/>
    <n v="10972843.025067035"/>
    <n v="1762650.4165704874"/>
    <n v="662684.54703683523"/>
    <n v="858062.59062143939"/>
    <n v="2644370.8648589137"/>
    <n v="2111300.9497888805"/>
    <n v="603460.5215462104"/>
    <n v="7410818.0393660208"/>
    <n v="2698374.3855321882"/>
    <n v="2306720.7038459326"/>
    <n v="1047623.3903229809"/>
    <n v="3689314.0964605119"/>
    <n v="665955.13150916761"/>
    <n v="0"/>
    <m/>
    <n v="14412658.087662594"/>
    <m/>
    <m/>
    <m/>
    <m/>
    <m/>
    <m/>
    <m/>
    <m/>
    <n v="-51846836.750189215"/>
    <m/>
    <m/>
    <m/>
    <m/>
    <m/>
    <m/>
    <m/>
    <m/>
    <m/>
    <m/>
    <m/>
    <m/>
    <m/>
    <m/>
    <m/>
    <m/>
  </r>
  <r>
    <m/>
    <x v="9"/>
    <x v="1"/>
    <x v="0"/>
    <s v="Önköltséges képzési bevétel felosztása általános munkaszámról intézetekre / tanszékekre"/>
    <x v="3"/>
    <x v="7"/>
    <s v="SB Képzési finanszírozás átadás"/>
    <n v="0"/>
    <n v="0"/>
    <n v="0"/>
    <n v="0"/>
    <n v="3"/>
    <n v="3221942.3370030713"/>
    <n v="737849.39015337511"/>
    <n v="147569.87803067503"/>
    <n v="1008394.166542946"/>
    <n v="368924.69507668755"/>
    <n v="983799.18687116692"/>
    <n v="983799.18687116692"/>
    <n v="1401913.8412914127"/>
    <n v="811634.3291687126"/>
    <n v="787039.34949693352"/>
    <n v="98379.918687116689"/>
    <n v="3418702.174377305"/>
    <n v="442709.63409202505"/>
    <n v="0"/>
    <m/>
    <n v="-14412658.087662594"/>
    <m/>
    <m/>
    <m/>
    <m/>
    <m/>
    <m/>
    <m/>
    <m/>
    <m/>
    <m/>
    <m/>
    <m/>
    <m/>
    <m/>
    <m/>
    <m/>
    <m/>
    <m/>
    <m/>
    <m/>
    <m/>
    <m/>
    <m/>
    <m/>
    <m/>
  </r>
  <r>
    <m/>
    <x v="10"/>
    <x v="1"/>
    <x v="4"/>
    <s v="Átoktatás átvétel, önköltséges bevétel"/>
    <x v="3"/>
    <x v="8"/>
    <s v="SB Átoktatásra bevétel ÁTVÉTEL"/>
    <n v="6059504.2202798137"/>
    <n v="6059504.2202798137"/>
    <n v="0"/>
    <n v="0"/>
    <s v="22.b3"/>
    <n v="142852.76393959919"/>
    <n v="44609.629107074943"/>
    <n v="0"/>
    <n v="702561.44066831039"/>
    <n v="302300.52914601477"/>
    <n v="133828.88732122481"/>
    <n v="0"/>
    <n v="4614308.6789644454"/>
    <n v="0"/>
    <n v="0"/>
    <n v="29781.392828521806"/>
    <n v="0"/>
    <n v="89260.898304621718"/>
    <n v="0"/>
    <n v="0"/>
    <m/>
    <m/>
    <m/>
    <m/>
    <m/>
    <m/>
    <m/>
    <m/>
    <m/>
    <m/>
    <m/>
    <m/>
    <m/>
    <m/>
    <m/>
    <m/>
    <m/>
    <m/>
    <m/>
    <m/>
    <m/>
    <m/>
    <m/>
    <m/>
    <m/>
    <m/>
  </r>
  <r>
    <m/>
    <x v="10"/>
    <x v="1"/>
    <x v="4"/>
    <s v="Átoktatás átvétel, önköltséges bevétel felosztása általános munkaszámról intézetekre / tanszékekre"/>
    <x v="3"/>
    <x v="8"/>
    <s v="SB Átoktatásra bevétel ÁTVÉTEL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</r>
  <r>
    <n v="5"/>
    <x v="11"/>
    <x v="1"/>
    <x v="5"/>
    <s v="Egyéb saját bevételek (ideértve a hasznosítási bevételek épület-használat arányosan felosztott összegét)"/>
    <x v="1"/>
    <x v="0"/>
    <s v="ÖSSZEGZŐ SOR"/>
    <n v="12231887"/>
    <n v="12231887"/>
    <n v="0"/>
    <n v="12231887"/>
    <m/>
    <n v="0"/>
    <n v="0"/>
    <n v="0"/>
    <n v="0"/>
    <n v="0"/>
    <n v="0"/>
    <n v="0"/>
    <n v="0"/>
    <n v="0"/>
    <n v="0"/>
    <n v="0"/>
    <n v="0"/>
    <n v="0"/>
    <n v="0"/>
    <n v="0"/>
    <n v="7231887"/>
    <n v="500000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</r>
  <r>
    <m/>
    <x v="0"/>
    <x v="0"/>
    <x v="0"/>
    <s v="Egyéb saját bevételek"/>
    <x v="3"/>
    <x v="0"/>
    <s v="ÖSSZESEN: töltendő, ha nincs alábontá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9"/>
    <s v="Vásárolt. saját előállítású  jegyzet. tankönyv értékesít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10"/>
    <s v="Egyéb áru és készletértékesít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11"/>
    <s v="Gyakorló kert bevétele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12"/>
    <s v="ÁRU-ÉS KÉSZLET ÉRTÉKESÍTÉS ELLENÉRTÉK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13"/>
    <s v="Oktatási bevételek (tanfolyamok stb.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14"/>
    <s v="K + F tevékenység bevétele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15"/>
    <s v="Tárgyi eszköz bérbeadásából származó bevétel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16"/>
    <s v="Bérleti és lízing díjbevételek"/>
    <n v="7231887"/>
    <n v="7231887"/>
    <n v="0"/>
    <n v="7231887"/>
    <m/>
    <m/>
    <m/>
    <m/>
    <m/>
    <m/>
    <m/>
    <m/>
    <m/>
    <m/>
    <m/>
    <m/>
    <m/>
    <m/>
    <m/>
    <m/>
    <n v="7231887"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17"/>
    <s v="Parkolási díjbevétel"/>
    <m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18"/>
    <s v="Vendéglátók által üzem0101tett étterem. büfé bérleti díja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19"/>
    <s v="Kollégiumhasznosítással kapcs.bevételek (5% ÁFA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20"/>
    <s v="Egyéb szolgáltatások bevétele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21"/>
    <s v="Étkezési térítési díj (alkalmazotti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22"/>
    <s v="Lakbér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23"/>
    <s v="Üdülési díj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24"/>
    <s v="SZOLGÁLTATÁSOK ELLENÉRTÉK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25"/>
    <s v="Közvetített szolgáltatások ellenértéke ÁH-n belül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26"/>
    <s v="Közvetített szolgáltatások ellenértéke ÁH-n kívül (Áfa mentes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27"/>
    <s v="KÖZVETÍTETT SZOLGÁLTATÁSOK BEVÉTEL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28"/>
    <s v="Ell.díjak - Köznevelési ell. - Óvodai ellátottak térítési díja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29"/>
    <s v="Ell.díjak - Köznevelési ell. - Általános iskolások étkezési díja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30"/>
    <s v="Ell.díjak - Köznevelési ell. - Középiskolások étkezési díja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5"/>
    <s v="Ell.díjak - Neptun - Önktg. Költségtérít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31"/>
    <s v="Ell.díjak-Neptun-Egyéb szolg.d.- Felv.iratk.díjak (regiszt.) KTGTÉR"/>
    <n v="2000000"/>
    <n v="2000000"/>
    <n v="0"/>
    <n v="2000000"/>
    <m/>
    <m/>
    <m/>
    <m/>
    <m/>
    <m/>
    <m/>
    <m/>
    <m/>
    <m/>
    <m/>
    <m/>
    <m/>
    <m/>
    <m/>
    <m/>
    <m/>
    <n v="2000000"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32"/>
    <s v="Ell.díjak-Neptun-Egyéb szolg.d.-Tantárgyi vizsgaismétlési díj (UV díj)"/>
    <n v="1000000"/>
    <n v="1000000"/>
    <n v="0"/>
    <n v="1000000"/>
    <m/>
    <m/>
    <m/>
    <m/>
    <m/>
    <m/>
    <m/>
    <m/>
    <m/>
    <m/>
    <m/>
    <m/>
    <m/>
    <m/>
    <m/>
    <m/>
    <m/>
    <n v="1000000"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33"/>
    <s v="Ell.díjak-Neptun-Egyéb szolg.d. - Tantárgyismétlési díj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34"/>
    <s v="Ell.díjak-Neptun-Egyéb szolg.d.-Oklevél, diplomakiállítási díj"/>
    <n v="1000000"/>
    <n v="1000000"/>
    <n v="0"/>
    <n v="1000000"/>
    <m/>
    <m/>
    <m/>
    <m/>
    <m/>
    <m/>
    <m/>
    <m/>
    <m/>
    <m/>
    <m/>
    <m/>
    <m/>
    <m/>
    <m/>
    <m/>
    <m/>
    <n v="1000000"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35"/>
    <s v="Ell.díjak-Neptun-Egyéb szolg.d.-Kredittúllépés, kreditkihagyási díj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36"/>
    <s v="Ell.díjak-Neptun-Egyéb szolg.d. - Nyelvvizsga díj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37"/>
    <s v="Ell.díjak-Neptun-Egyéb szolg.d. - Utólagos kurzusfelvétel. leadá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38"/>
    <s v="Ell.díjak-Neptun-Egyéb szolg.d. - Késedelmes leadás. felvétel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39"/>
    <s v="Ell.díjak-Neptun-Egyéb szolg.d. - Késedelmes befizet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40"/>
    <s v="Ell.díjak-Neptun-Egyéb szolg.d.-Kreditenkénti költségtérítés - túlfutó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41"/>
    <s v="Ell.díjak-Neptun-Egyéb szolg.d.- Doktori eljárási díja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42"/>
    <s v="Ell.díjak-Neptun-Egyéb szolg.d.-Egyéb különeljárási és késedelmi díjak"/>
    <n v="1000000"/>
    <n v="1000000"/>
    <n v="0"/>
    <n v="1000000"/>
    <m/>
    <m/>
    <m/>
    <m/>
    <m/>
    <m/>
    <m/>
    <m/>
    <m/>
    <m/>
    <m/>
    <m/>
    <m/>
    <m/>
    <m/>
    <m/>
    <m/>
    <n v="1000000"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43"/>
    <s v="Ell.díjak - Neptun - Kollégiumi bevétele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44"/>
    <s v="Ell.díjak - NEM Neptun -Habilitációs díja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45"/>
    <s v="Ell.díjak - NEM Neptun rendszeren keresztül beszedett bev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46"/>
    <s v="ELLÁTÁSI DÍJA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47"/>
    <s v="Egyenes adós ÁFA anyag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48"/>
    <s v="Egyenes adós ÁFA szolgáltatá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n v="0"/>
    <n v="0"/>
    <n v="0"/>
    <m/>
    <m/>
    <m/>
    <m/>
    <m/>
    <m/>
    <m/>
    <m/>
    <m/>
    <m/>
    <m/>
    <m/>
    <m/>
  </r>
  <r>
    <m/>
    <x v="0"/>
    <x v="0"/>
    <x v="0"/>
    <s v="Egyéb saját bevételek"/>
    <x v="3"/>
    <x v="49"/>
    <s v="Egyenes adós ÁFA beruházás (Értékesített t.eszk.áfa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50"/>
    <s v="KISZÁMLÁZOTT ÁFA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51"/>
    <s v="Működési kiadásokhoz kapcs ÁFA visszatér bev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52"/>
    <s v="ÁFA VISSZATÉRÜL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53"/>
    <s v="Áht kiv. egyéb kamat-, kamatjellegű e/bevét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54"/>
    <s v="KAMATBEVÉTELE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55"/>
    <s v="Évközi realizált árf. nyereség AUT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56"/>
    <s v="Évközi realizált árf. nyereség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57"/>
    <s v="Egyéb pénzügyi műv.e.eredmsz.bevétel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58"/>
    <s v="EGYÉB PÉNZÜGYI MŰVELETEK BEVÉTELE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Egyéb saját bevételek"/>
    <x v="3"/>
    <x v="59"/>
    <s v="Biztosító által fizetett kártérít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6"/>
    <x v="12"/>
    <x v="1"/>
    <x v="0"/>
    <s v="Egyéb finanszírozású képzési költségvetés allokáció célszervezetre"/>
    <x v="1"/>
    <x v="0"/>
    <s v="ÖSSZEGZŐ SOR"/>
    <n v="-616949"/>
    <n v="-616948.69508576312"/>
    <n v="-0.30491423688363284"/>
    <n v="-616948.69508576312"/>
    <m/>
    <n v="-64405.055204116783"/>
    <n v="-127152.68214273719"/>
    <n v="-2949.8498566771045"/>
    <n v="-241035.50939854115"/>
    <n v="-7374.6246416927615"/>
    <n v="-19665.665711180696"/>
    <n v="-19665.665711180696"/>
    <n v="-29987.905475493695"/>
    <n v="-16224.174211724074"/>
    <n v="-15732.532568944558"/>
    <n v="-1966.5665711180698"/>
    <n v="-68338.188346352923"/>
    <n v="-2450.2752460034098"/>
    <n v="0"/>
    <n v="0"/>
    <m/>
    <m/>
    <m/>
    <m/>
    <m/>
    <m/>
    <m/>
    <m/>
    <m/>
    <m/>
    <m/>
    <m/>
    <m/>
    <m/>
    <m/>
    <m/>
    <m/>
    <m/>
    <m/>
    <m/>
    <m/>
    <m/>
    <m/>
    <m/>
    <m/>
    <m/>
  </r>
  <r>
    <m/>
    <x v="13"/>
    <x v="1"/>
    <x v="6"/>
    <s v="Egyéb finanszírozású képzési bevétel tervezése képzési munkaszámokra"/>
    <x v="2"/>
    <x v="5"/>
    <s v="Ell.díjak - Neptun - Önktg. Költségtérítés"/>
    <n v="-1.7271668184548616E-6"/>
    <n v="-1.7271668184548616E-6"/>
    <n v="0"/>
    <n v="-1.7271668184548616E-6"/>
    <m/>
    <m/>
    <m/>
    <m/>
    <m/>
    <m/>
    <m/>
    <m/>
    <m/>
    <m/>
    <m/>
    <m/>
    <m/>
    <m/>
    <m/>
    <m/>
    <m/>
    <m/>
    <m/>
    <m/>
    <m/>
    <m/>
    <m/>
    <m/>
    <m/>
    <n v="-1.7271668184548616E-6"/>
    <m/>
    <m/>
    <m/>
    <m/>
    <m/>
    <m/>
    <m/>
    <m/>
    <m/>
    <m/>
    <m/>
    <m/>
    <m/>
    <m/>
    <m/>
    <m/>
  </r>
  <r>
    <m/>
    <x v="14"/>
    <x v="1"/>
    <x v="6"/>
    <s v="Átoktatás átadás, egyéb finanszírozású bevétel"/>
    <x v="2"/>
    <x v="6"/>
    <s v="SB Átoktatásra bevétel ÁTADÁS"/>
    <n v="-636759.61435942852"/>
    <n v="-636759.61435942852"/>
    <n v="0"/>
    <n v="0"/>
    <m/>
    <m/>
    <m/>
    <m/>
    <m/>
    <m/>
    <m/>
    <m/>
    <m/>
    <m/>
    <m/>
    <m/>
    <m/>
    <m/>
    <m/>
    <m/>
    <m/>
    <m/>
    <m/>
    <m/>
    <m/>
    <m/>
    <m/>
    <m/>
    <m/>
    <n v="-636759.61435942852"/>
    <m/>
    <m/>
    <m/>
    <m/>
    <m/>
    <m/>
    <m/>
    <m/>
    <m/>
    <m/>
    <m/>
    <m/>
    <m/>
    <m/>
    <m/>
    <m/>
  </r>
  <r>
    <m/>
    <x v="15"/>
    <x v="1"/>
    <x v="0"/>
    <s v="Átoktatással csökkentett egyéb finanszírozású képzési bevétel áthozatala képzési munkaszámokról intézetekre / tanszékekre, általános munkaszámra, hivatalokra"/>
    <x v="3"/>
    <x v="7"/>
    <s v="SB Képzési finanszírozás átadás"/>
    <n v="-636759.61436115566"/>
    <n v="0"/>
    <n v="-636759.61436115566"/>
    <n v="0"/>
    <s v="22.b2"/>
    <n v="0"/>
    <n v="-112403.43285935167"/>
    <n v="0"/>
    <n v="-220878.20204458095"/>
    <n v="0"/>
    <n v="0"/>
    <n v="0"/>
    <n v="-1964.3318370612005"/>
    <n v="0"/>
    <n v="0"/>
    <n v="0"/>
    <n v="0"/>
    <n v="-13411.644951364711"/>
    <n v="0"/>
    <m/>
    <n v="-288102.00266879721"/>
    <m/>
    <m/>
    <m/>
    <m/>
    <m/>
    <m/>
    <m/>
    <m/>
    <n v="636759.61436115566"/>
    <m/>
    <m/>
    <m/>
    <m/>
    <m/>
    <m/>
    <m/>
    <m/>
    <m/>
    <m/>
    <m/>
    <m/>
    <m/>
    <m/>
    <m/>
    <m/>
  </r>
  <r>
    <m/>
    <x v="15"/>
    <x v="1"/>
    <x v="0"/>
    <s v="Egyéb finanszírozású képzési bevétel felosztása általános munkaszámról intézetekre / tanszékekre"/>
    <x v="3"/>
    <x v="7"/>
    <s v="SB Képzési finanszírozás átadás"/>
    <n v="0"/>
    <n v="0"/>
    <n v="0"/>
    <n v="0"/>
    <n v="3"/>
    <n v="-64405.055204116783"/>
    <n v="-14749.249283385523"/>
    <n v="-2949.8498566771045"/>
    <n v="-20157.307353960216"/>
    <n v="-7374.6246416927615"/>
    <n v="-19665.665711180696"/>
    <n v="-19665.665711180696"/>
    <n v="-28023.573638432495"/>
    <n v="-16224.174211724074"/>
    <n v="-15732.532568944558"/>
    <n v="-1966.5665711180698"/>
    <n v="-68338.188346352923"/>
    <n v="-8849.5495700313131"/>
    <n v="0"/>
    <m/>
    <n v="288102.00266879721"/>
    <m/>
    <m/>
    <m/>
    <m/>
    <m/>
    <m/>
    <m/>
    <m/>
    <m/>
    <m/>
    <m/>
    <m/>
    <m/>
    <m/>
    <m/>
    <m/>
    <m/>
    <m/>
    <m/>
    <m/>
    <m/>
    <m/>
    <m/>
    <m/>
    <m/>
  </r>
  <r>
    <m/>
    <x v="16"/>
    <x v="1"/>
    <x v="7"/>
    <s v="Átoktatás átvétel, egyéb finanszírozású bevétel"/>
    <x v="3"/>
    <x v="8"/>
    <s v="SB Átoktatásra bevétel ÁTVÉTEL"/>
    <n v="19810.919275392615"/>
    <n v="19810.919275392615"/>
    <n v="0"/>
    <n v="0"/>
    <s v="22.b3"/>
    <n v="0"/>
    <n v="0"/>
    <n v="0"/>
    <n v="0"/>
    <n v="0"/>
    <n v="0"/>
    <n v="0"/>
    <n v="0"/>
    <n v="0"/>
    <n v="0"/>
    <n v="0"/>
    <n v="0"/>
    <n v="19810.919275392615"/>
    <n v="0"/>
    <n v="0"/>
    <m/>
    <m/>
    <m/>
    <m/>
    <m/>
    <m/>
    <m/>
    <m/>
    <m/>
    <m/>
    <m/>
    <m/>
    <m/>
    <m/>
    <m/>
    <m/>
    <m/>
    <m/>
    <m/>
    <m/>
    <m/>
    <m/>
    <m/>
    <m/>
    <m/>
    <m/>
  </r>
  <r>
    <m/>
    <x v="16"/>
    <x v="1"/>
    <x v="7"/>
    <s v="Átoktatás átvétel, egyéb finanszírozású bevétel felosztása általános munkaszámról intézetekre / tanszékekre"/>
    <x v="3"/>
    <x v="8"/>
    <s v="SB Átoktatásra bevétel ÁTVÉTEL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</r>
  <r>
    <s v="7. a)"/>
    <x v="17"/>
    <x v="1"/>
    <x v="8"/>
    <s v="Oktatói béremelés fedezete (2018. évi arányban)"/>
    <x v="1"/>
    <x v="60"/>
    <s v="Működési költségvetés támogatása - Céltámogatás"/>
    <n v="79837000"/>
    <n v="79837000.000000015"/>
    <n v="0"/>
    <n v="79837000.000000015"/>
    <n v="2"/>
    <n v="15080322.222222222"/>
    <n v="7983700"/>
    <n v="1774155.5555555557"/>
    <n v="8870777.777777778"/>
    <n v="3548311.1111111115"/>
    <n v="5322466.666666667"/>
    <n v="1774155.5555555557"/>
    <n v="5322466.666666667"/>
    <n v="7096622.2222222229"/>
    <n v="7983700"/>
    <n v="4435388.888888889"/>
    <n v="6209544.444444445"/>
    <n v="4435388.888888889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</r>
  <r>
    <s v="7. b)"/>
    <x v="18"/>
    <x v="1"/>
    <x v="9"/>
    <s v="Béremelés 2021-2022 fedezete"/>
    <x v="1"/>
    <x v="60"/>
    <s v="Működési költségvetés támogatása - Céltámogatás"/>
    <n v="158670985"/>
    <n v="158670984.99999997"/>
    <n v="0"/>
    <n v="158670984.99999997"/>
    <n v="2"/>
    <n v="29971186.055555556"/>
    <n v="15867098.5"/>
    <n v="3526021.888888889"/>
    <n v="17630109.444444444"/>
    <n v="7052043.777777778"/>
    <n v="10578065.666666666"/>
    <n v="3526021.888888889"/>
    <n v="10578065.666666666"/>
    <n v="14104087.555555556"/>
    <n v="15867098.5"/>
    <n v="8815054.722222222"/>
    <n v="12341076.611111112"/>
    <n v="8815054.722222222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</r>
  <r>
    <s v="7. c)"/>
    <x v="19"/>
    <x v="1"/>
    <x v="10"/>
    <s v="Egyetemi minimumbér és béremelés allokáció"/>
    <x v="1"/>
    <x v="60"/>
    <s v="Működési költségvetés támogatása - Céltámogatás"/>
    <n v="89133393"/>
    <n v="89133393"/>
    <n v="0"/>
    <n v="89133393"/>
    <n v="1"/>
    <n v="15152676.810000001"/>
    <n v="8022005.3700000001"/>
    <n v="1782667.86"/>
    <n v="8913339.3000000007"/>
    <n v="3565335.72"/>
    <n v="5348003.58"/>
    <n v="1782667.86"/>
    <n v="5348003.58"/>
    <n v="7130671.4400000004"/>
    <n v="8022005.3700000001"/>
    <n v="4456669.6500000004"/>
    <n v="6239337.5100000007"/>
    <n v="4456669.6500000004"/>
    <n v="8913339.3000000007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</r>
  <r>
    <s v="7. d)"/>
    <x v="20"/>
    <x v="1"/>
    <x v="11"/>
    <s v="2023 évi többlet támogatás allokációja (előirányzat csökkentéshez hozzájárulás arányában)"/>
    <x v="1"/>
    <x v="60"/>
    <s v="Működési költségvetés támogatása - Céltámogatás"/>
    <n v="12664787.593646189"/>
    <n v="12664787.593646189"/>
    <n v="0"/>
    <n v="12664787.593646189"/>
    <n v="7"/>
    <n v="3307927.5324568897"/>
    <n v="531588.60037008685"/>
    <n v="91016.220683227744"/>
    <n v="797133.51921060961"/>
    <n v="220982.77356424171"/>
    <n v="1119223.9353088038"/>
    <n v="606881.29213365261"/>
    <n v="1088692.4842656504"/>
    <n v="1300493.2126733996"/>
    <n v="811702.08378514578"/>
    <n v="88721.149226690453"/>
    <n v="2312999.9710573871"/>
    <n v="387424.81891040324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</r>
  <r>
    <n v="8"/>
    <x v="21"/>
    <x v="1"/>
    <x v="0"/>
    <s v="ÁKTH alá tartozó speciális feladatok"/>
    <x v="1"/>
    <x v="0"/>
    <s v="ÖSSZEGZŐ SOR"/>
    <n v="184259786"/>
    <n v="184259785.67018494"/>
    <n v="0.32981505990028381"/>
    <n v="184259785.67018494"/>
    <m/>
    <n v="38760474.662271813"/>
    <n v="8509121.7203136776"/>
    <n v="1831038.8989516241"/>
    <n v="10143165.636539802"/>
    <n v="3931524.4729346153"/>
    <n v="7469058.9804182351"/>
    <n v="4884767.8826404577"/>
    <n v="8995923.4722626526"/>
    <n v="29403830.467790268"/>
    <n v="16921689.97986725"/>
    <n v="22713633.747241452"/>
    <n v="19252260.989492539"/>
    <n v="10285011.459460534"/>
    <n v="1158283.3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</r>
  <r>
    <m/>
    <x v="22"/>
    <x v="1"/>
    <x v="12"/>
    <s v="Kulturális illetménypótlék"/>
    <x v="3"/>
    <x v="60"/>
    <s v="Működési költségvetés támogatása - Céltámogatás"/>
    <n v="0"/>
    <n v="0"/>
    <n v="0"/>
    <n v="0"/>
    <s v="14.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</r>
  <r>
    <m/>
    <x v="23"/>
    <x v="1"/>
    <x v="13"/>
    <s v="Szombathelyi képzések fejlesztése"/>
    <x v="3"/>
    <x v="60"/>
    <s v="Működési költségvetés támogatása - Céltámogatás"/>
    <n v="119305000"/>
    <n v="119305000"/>
    <n v="0"/>
    <n v="119305000"/>
    <n v="9"/>
    <n v="30929151.791440126"/>
    <n v="7466666.7503136778"/>
    <n v="1599382.2389516241"/>
    <n v="8984882.3365398012"/>
    <n v="3468211.1529346155"/>
    <n v="6774089.0004182346"/>
    <n v="4653111.2226404576"/>
    <n v="8300953.4922626531"/>
    <n v="12415171.364840373"/>
    <n v="8634269.0087829381"/>
    <n v="3369746.6889725355"/>
    <n v="18441462.679492541"/>
    <n v="4267902.2724104282"/>
    <n v="0"/>
    <n v="0"/>
    <m/>
    <m/>
    <m/>
    <m/>
    <m/>
    <m/>
    <m/>
    <m/>
    <m/>
    <m/>
    <m/>
    <m/>
    <m/>
    <m/>
    <m/>
    <m/>
    <m/>
    <m/>
    <m/>
    <m/>
    <m/>
    <m/>
    <m/>
    <m/>
    <m/>
    <m/>
  </r>
  <r>
    <m/>
    <x v="24"/>
    <x v="1"/>
    <x v="14"/>
    <s v="Kis szakok"/>
    <x v="3"/>
    <x v="60"/>
    <s v="Működési költségvetés támogatása - Céltámogatás"/>
    <n v="8344435.7976653697"/>
    <n v="8344435.7976653697"/>
    <n v="0"/>
    <n v="8344435.7976653697"/>
    <n v="5"/>
    <n v="0"/>
    <n v="0"/>
    <n v="0"/>
    <n v="0"/>
    <n v="0"/>
    <n v="0"/>
    <n v="0"/>
    <n v="0"/>
    <n v="0"/>
    <n v="0"/>
    <n v="8344435.7976653697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</r>
  <r>
    <m/>
    <x v="25"/>
    <x v="1"/>
    <x v="15"/>
    <s v="Nemzetiségi képzés"/>
    <x v="3"/>
    <x v="60"/>
    <s v="Működési költségvetés támogatása - Céltámogatás"/>
    <n v="3410456.8725195429"/>
    <n v="3410456.8725195429"/>
    <n v="0"/>
    <n v="3410456.8725195429"/>
    <n v="5"/>
    <n v="0"/>
    <n v="0"/>
    <n v="0"/>
    <n v="0"/>
    <n v="0"/>
    <n v="0"/>
    <n v="0"/>
    <n v="0"/>
    <n v="0"/>
    <n v="0"/>
    <n v="3410456.8725195429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</r>
  <r>
    <m/>
    <x v="26"/>
    <x v="1"/>
    <x v="16"/>
    <s v="Kötelező minimálbér, garantált bérminimum kiegészítés"/>
    <x v="3"/>
    <x v="60"/>
    <s v="Működési költségvetés támogatása - Céltámogatás"/>
    <n v="11582833"/>
    <n v="11582833.000000002"/>
    <n v="0"/>
    <n v="11582833.000000002"/>
    <n v="1"/>
    <n v="1969081.61"/>
    <n v="1042454.97"/>
    <n v="231656.66"/>
    <n v="1158283.3"/>
    <n v="463313.32"/>
    <n v="694969.98"/>
    <n v="231656.66"/>
    <n v="694969.98"/>
    <n v="926626.64"/>
    <n v="1042454.97"/>
    <n v="579141.65"/>
    <n v="810798.31"/>
    <n v="579141.65"/>
    <n v="1158283.3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</r>
  <r>
    <m/>
    <x v="27"/>
    <x v="1"/>
    <x v="17"/>
    <s v="Anyanyelvi lektorok"/>
    <x v="3"/>
    <x v="60"/>
    <s v="Működési költségvetés támogatása - Céltámogatás"/>
    <n v="20117060"/>
    <n v="20117059.999999996"/>
    <n v="0"/>
    <n v="20117059.999999996"/>
    <n v="17"/>
    <n v="5862241.2608316839"/>
    <n v="0"/>
    <n v="0"/>
    <n v="0"/>
    <n v="0"/>
    <n v="0"/>
    <n v="0"/>
    <n v="0"/>
    <n v="0"/>
    <n v="7244966.00108431"/>
    <n v="7009852.7380840043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1"/>
    <x v="18"/>
    <s v="Művészeti gyakorlóhely"/>
    <x v="3"/>
    <x v="60"/>
    <s v="Működési költségvetés támogatása - Céltámogatás"/>
    <n v="21500000"/>
    <n v="21500000"/>
    <n v="0"/>
    <n v="21500000"/>
    <n v="10"/>
    <n v="0"/>
    <n v="0"/>
    <n v="0"/>
    <n v="0"/>
    <n v="0"/>
    <n v="0"/>
    <n v="0"/>
    <n v="0"/>
    <n v="16062032.462949894"/>
    <n v="0"/>
    <n v="0"/>
    <n v="0"/>
    <n v="5437967.5370501066"/>
    <n v="0"/>
    <n v="0"/>
    <m/>
    <m/>
    <m/>
    <m/>
    <m/>
    <m/>
    <m/>
    <m/>
    <m/>
    <m/>
    <m/>
    <m/>
    <m/>
    <m/>
    <m/>
    <m/>
    <m/>
    <m/>
    <m/>
    <m/>
    <m/>
    <m/>
    <m/>
    <m/>
    <m/>
    <m/>
  </r>
  <r>
    <m/>
    <x v="29"/>
    <x v="2"/>
    <x v="19"/>
    <s v="ÁKTH alapja"/>
    <x v="0"/>
    <x v="0"/>
    <m/>
    <n v="967418988.56411517"/>
    <n v="967418988.3493346"/>
    <n v="0.21478059806395322"/>
    <n v="967418988.3493346"/>
    <m/>
    <n v="214056685.91415179"/>
    <n v="59001603.991652682"/>
    <n v="12495175.037725698"/>
    <n v="72180356.690808609"/>
    <n v="28140534.672372825"/>
    <n v="66038490.158043176"/>
    <n v="32031694.478522141"/>
    <n v="76822608.432106018"/>
    <n v="100865340.98914032"/>
    <n v="76611522.946576953"/>
    <n v="44298602.369079374"/>
    <n v="121577355.3580526"/>
    <n v="40995507.711102381"/>
    <n v="10071622.600000001"/>
    <n v="0"/>
    <n v="7231887"/>
    <n v="5000000"/>
    <n v="0"/>
    <n v="0"/>
    <n v="0"/>
    <n v="0"/>
    <n v="0"/>
    <n v="0"/>
    <n v="0"/>
    <n v="0"/>
    <n v="0"/>
    <n v="0"/>
    <n v="0"/>
    <n v="0"/>
    <m/>
    <n v="0"/>
    <n v="0"/>
    <n v="0"/>
    <n v="0"/>
    <n v="0"/>
    <n v="0"/>
    <n v="0"/>
    <n v="0"/>
    <n v="0"/>
    <n v="0"/>
    <n v="0"/>
  </r>
  <r>
    <n v="10"/>
    <x v="30"/>
    <x v="1"/>
    <x v="20"/>
    <s v="Szombathelyi működésre ÁKTH elvonás 19,5 %"/>
    <x v="1"/>
    <x v="0"/>
    <s v="ÖSSZEGZŐ SOR"/>
    <n v="-188646702.77000245"/>
    <n v="-188646702.72812024"/>
    <n v="-4.1882216930389404E-2"/>
    <n v="4.1882246732711792E-2"/>
    <m/>
    <n v="-41741053.753259599"/>
    <n v="-11505312.778372273"/>
    <n v="-2436559.1323565114"/>
    <n v="-14075169.55470768"/>
    <n v="-5487404.261112703"/>
    <n v="-12877505.580818418"/>
    <n v="-6246180.4233118184"/>
    <n v="-14980408.644260671"/>
    <n v="-19668741.492882363"/>
    <n v="-14939246.974582504"/>
    <n v="-8638227.4619704783"/>
    <n v="-23707584.294820257"/>
    <n v="-7994124.0036649657"/>
    <n v="-1963966.4070000004"/>
    <n v="0"/>
    <n v="-1410217.9650000001"/>
    <n v="-975000"/>
    <n v="0"/>
    <n v="0"/>
    <n v="0"/>
    <n v="0"/>
    <n v="0"/>
    <n v="0"/>
    <n v="0"/>
    <n v="0"/>
    <m/>
    <m/>
    <n v="0"/>
    <m/>
    <m/>
    <n v="188646702.77000248"/>
    <m/>
    <m/>
    <m/>
    <m/>
    <m/>
    <m/>
    <m/>
    <m/>
    <m/>
    <m/>
  </r>
  <r>
    <m/>
    <x v="0"/>
    <x v="0"/>
    <x v="0"/>
    <s v="Szombathelyi működésre ÁKTH elvonás 19,5 %, saját bevétel"/>
    <x v="3"/>
    <x v="61"/>
    <s v="SB ÁKTH ÁTADÁS"/>
    <n v="-13556649.399241464"/>
    <n v="-13556649.458699735"/>
    <n v="5.9458270668983459E-2"/>
    <n v="-5.9458270668983459E-2"/>
    <m/>
    <n v="-2783280.4488070896"/>
    <n v="-471501.56696919899"/>
    <n v="-157424.39216611246"/>
    <n v="-453956.6242446602"/>
    <n v="-645103.18556578504"/>
    <n v="-625806.35486266785"/>
    <n v="-305680.83832770836"/>
    <n v="-2612425.2675585453"/>
    <n v="-681287.98539538949"/>
    <n v="-600215.36655091471"/>
    <n v="-228894.53637716276"/>
    <n v="-1372737.2260858356"/>
    <n v="-233117.70078866312"/>
    <n v="0"/>
    <n v="0"/>
    <n v="-1410217.9650000001"/>
    <n v="-975000"/>
    <n v="0"/>
    <n v="0"/>
    <n v="0"/>
    <n v="0"/>
    <n v="0"/>
    <n v="0"/>
    <n v="0"/>
    <n v="0"/>
    <m/>
    <m/>
    <n v="0"/>
    <m/>
    <m/>
    <n v="13556649.399241464"/>
    <m/>
    <m/>
    <m/>
    <m/>
    <m/>
    <m/>
    <m/>
    <m/>
    <m/>
    <m/>
  </r>
  <r>
    <m/>
    <x v="0"/>
    <x v="0"/>
    <x v="0"/>
    <s v="Szombathelyi működésre ÁKTH elvonás 19,5 %, támogatás"/>
    <x v="3"/>
    <x v="62"/>
    <s v="T ÁKTH ÁTADÁS"/>
    <n v="-175090053.37076101"/>
    <n v="-175090053.2694205"/>
    <n v="-0.10134050250053406"/>
    <n v="0.10134050250053406"/>
    <m/>
    <n v="-38957773.304452509"/>
    <n v="-11033811.211403074"/>
    <n v="-2279134.7401903989"/>
    <n v="-13621212.93046302"/>
    <n v="-4842301.0755469175"/>
    <n v="-12251699.225955751"/>
    <n v="-5940499.5849841097"/>
    <n v="-12367983.376702126"/>
    <n v="-18987453.507486973"/>
    <n v="-14339031.60803159"/>
    <n v="-8409332.9255933147"/>
    <n v="-22334847.068734422"/>
    <n v="-7761006.302876303"/>
    <n v="-1963966.4070000004"/>
    <n v="0"/>
    <n v="0"/>
    <n v="0"/>
    <n v="0"/>
    <n v="0"/>
    <n v="0"/>
    <n v="0"/>
    <n v="0"/>
    <n v="0"/>
    <n v="0"/>
    <n v="0"/>
    <m/>
    <m/>
    <n v="0"/>
    <m/>
    <m/>
    <n v="175090053.37076101"/>
    <m/>
    <m/>
    <m/>
    <m/>
    <m/>
    <m/>
    <m/>
    <m/>
    <m/>
    <m/>
  </r>
  <r>
    <n v="11"/>
    <x v="31"/>
    <x v="1"/>
    <x v="21"/>
    <s v="Egyetemi kiválósági alap elvonás -0,5%"/>
    <x v="1"/>
    <x v="0"/>
    <s v="ÖSSZEGZŐ SOR"/>
    <n v="-4837094.942820576"/>
    <n v="-4837094.9417466726"/>
    <n v="-1.0739034041762352E-3"/>
    <n v="1.0739034041762352E-3"/>
    <m/>
    <n v="-1070283.4295707589"/>
    <n v="-295008.01995826344"/>
    <n v="-62475.875188628495"/>
    <n v="-360901.78345404303"/>
    <n v="-140702.67336186414"/>
    <n v="-330192.45079021587"/>
    <n v="-160158.47239261071"/>
    <n v="-384113.04216052999"/>
    <n v="-504326.70494570158"/>
    <n v="-383057.61473288469"/>
    <n v="-221493.01184539686"/>
    <n v="-607886.77679026301"/>
    <n v="-204977.53855551194"/>
    <n v="-50358.113000000012"/>
    <n v="0"/>
    <n v="-36159.434999999998"/>
    <n v="-25000"/>
    <n v="0"/>
    <n v="0"/>
    <n v="0"/>
    <n v="0"/>
    <n v="0"/>
    <n v="0"/>
    <n v="0"/>
    <n v="0"/>
    <m/>
    <m/>
    <n v="0"/>
    <m/>
    <m/>
    <m/>
    <m/>
    <m/>
    <n v="4837094.942820576"/>
    <m/>
    <m/>
    <m/>
    <m/>
    <m/>
    <m/>
    <m/>
  </r>
  <r>
    <m/>
    <x v="0"/>
    <x v="0"/>
    <x v="0"/>
    <s v="Egyetemi kiválósági alap elvonás -0,5%, saját bevétel"/>
    <x v="3"/>
    <x v="63"/>
    <s v="SB Kiválósági Alap"/>
    <n v="-347606.39485234523"/>
    <n v="-347606.39637691627"/>
    <n v="1.5245710383169353E-3"/>
    <n v="-1.5245710383169353E-3"/>
    <m/>
    <n v="-71366.165354027937"/>
    <n v="-12089.783768441001"/>
    <n v="-4036.5228760541654"/>
    <n v="-11639.913442170773"/>
    <n v="-16541.107322199616"/>
    <n v="-16046.316791350459"/>
    <n v="-7837.9702135309835"/>
    <n v="-66985.263270731928"/>
    <n v="-17468.922702445885"/>
    <n v="-15390.137603869609"/>
    <n v="-5869.090676337506"/>
    <n v="-35198.390412457324"/>
    <n v="-5977.3769432990548"/>
    <n v="0"/>
    <n v="0"/>
    <n v="-36159.434999999998"/>
    <n v="-25000"/>
    <n v="0"/>
    <n v="0"/>
    <n v="0"/>
    <n v="0"/>
    <n v="0"/>
    <n v="0"/>
    <n v="0"/>
    <n v="0"/>
    <m/>
    <m/>
    <n v="0"/>
    <n v="0"/>
    <m/>
    <n v="0"/>
    <n v="0"/>
    <n v="0"/>
    <n v="347606.39485234523"/>
    <m/>
    <m/>
    <m/>
    <m/>
    <m/>
    <m/>
    <m/>
  </r>
  <r>
    <m/>
    <x v="0"/>
    <x v="0"/>
    <x v="0"/>
    <s v="Egyetemi kiválósági alap elvonás -0,5%, támogatás"/>
    <x v="3"/>
    <x v="64"/>
    <s v="T Kiválósági Alap"/>
    <n v="-4489488.5479682311"/>
    <n v="-4489488.5453697564"/>
    <n v="-2.5984747335314751E-3"/>
    <n v="2.5984747335314751E-3"/>
    <m/>
    <n v="-998917.26421673095"/>
    <n v="-282918.23618982243"/>
    <n v="-58439.35231257433"/>
    <n v="-349261.87001187226"/>
    <n v="-124161.56603966454"/>
    <n v="-314146.13399886544"/>
    <n v="-152320.50217907972"/>
    <n v="-317127.77888979809"/>
    <n v="-486857.7822432557"/>
    <n v="-367667.47712901508"/>
    <n v="-215623.92116905935"/>
    <n v="-572688.38637780573"/>
    <n v="-199000.16161221289"/>
    <n v="-50358.113000000012"/>
    <n v="0"/>
    <n v="0"/>
    <n v="0"/>
    <n v="0"/>
    <n v="0"/>
    <n v="0"/>
    <n v="0"/>
    <n v="0"/>
    <n v="0"/>
    <n v="0"/>
    <n v="0"/>
    <m/>
    <m/>
    <n v="0"/>
    <n v="0"/>
    <m/>
    <n v="0"/>
    <n v="0"/>
    <n v="0"/>
    <n v="4489488.5479682311"/>
    <m/>
    <m/>
    <m/>
    <m/>
    <m/>
    <m/>
    <m/>
  </r>
  <r>
    <n v="12"/>
    <x v="32"/>
    <x v="1"/>
    <x v="22"/>
    <s v="Kari kiválósági -1,5 %"/>
    <x v="1"/>
    <x v="0"/>
    <s v="ÖSSZEGZŐ SOR"/>
    <n v="-14511284.828461727"/>
    <n v="-14511284.825240018"/>
    <n v="-3.221709281206131E-3"/>
    <n v="-14511284.825240018"/>
    <m/>
    <n v="-3210850.2887122766"/>
    <n v="-885024.05987479025"/>
    <n v="-187427.62556588548"/>
    <n v="-1082705.350362129"/>
    <n v="-422108.02008559246"/>
    <n v="-990577.3523706476"/>
    <n v="-480475.4171778321"/>
    <n v="-1152339.1264815901"/>
    <n v="-1512980.1148371047"/>
    <n v="-1149172.8441986539"/>
    <n v="-664479.03553619061"/>
    <n v="-1823660.3303707889"/>
    <n v="-614932.6156665358"/>
    <n v="-151074.33900000004"/>
    <n v="0"/>
    <n v="-108478.30499999999"/>
    <n v="-75000"/>
    <n v="0"/>
    <n v="0"/>
    <n v="0"/>
    <n v="0"/>
    <n v="0"/>
    <n v="0"/>
    <n v="0"/>
    <n v="0"/>
    <m/>
    <m/>
    <n v="0"/>
    <m/>
    <m/>
    <m/>
    <m/>
    <m/>
    <m/>
    <m/>
    <m/>
    <m/>
    <m/>
    <m/>
    <m/>
    <m/>
  </r>
  <r>
    <m/>
    <x v="0"/>
    <x v="0"/>
    <x v="0"/>
    <s v="Kari kiválósági -1,5 %, saját bevétel"/>
    <x v="3"/>
    <x v="65"/>
    <s v="SB Kari kiválósági keret"/>
    <n v="-1042819.1845570356"/>
    <n v="-1042819.1891307486"/>
    <n v="4.573713056743145E-3"/>
    <n v="-1042819.1891307486"/>
    <m/>
    <n v="-214098.49606208378"/>
    <n v="-36269.351305322998"/>
    <n v="-12109.568628162497"/>
    <n v="-34919.740326512321"/>
    <n v="-49623.321966598851"/>
    <n v="-48138.950374051368"/>
    <n v="-23513.910640592949"/>
    <n v="-200955.78981219578"/>
    <n v="-52406.768107337652"/>
    <n v="-46170.412811608825"/>
    <n v="-17607.272029012518"/>
    <n v="-105595.17123737195"/>
    <n v="-17932.130829897163"/>
    <n v="0"/>
    <n v="0"/>
    <n v="-108478.30499999999"/>
    <n v="-75000"/>
    <n v="0"/>
    <m/>
    <n v="0"/>
    <n v="0"/>
    <n v="0"/>
    <n v="0"/>
    <n v="0"/>
    <n v="0"/>
    <m/>
    <m/>
    <n v="0"/>
    <m/>
    <m/>
    <m/>
    <m/>
    <m/>
    <m/>
    <m/>
    <m/>
    <m/>
    <m/>
    <m/>
    <m/>
    <m/>
  </r>
  <r>
    <m/>
    <x v="0"/>
    <x v="0"/>
    <x v="0"/>
    <s v="Kari kiválósági -1,5 %, támogatás"/>
    <x v="3"/>
    <x v="66"/>
    <s v="T Kari kiválósági keret"/>
    <n v="-13468465.643904693"/>
    <n v="-13468465.636109266"/>
    <n v="-7.795426994562149E-3"/>
    <n v="-13468465.636109266"/>
    <m/>
    <n v="-2996751.792650193"/>
    <n v="-848754.7085694673"/>
    <n v="-175318.05693772298"/>
    <n v="-1047785.6100356168"/>
    <n v="-372484.69811899361"/>
    <n v="-942438.40199659625"/>
    <n v="-456961.50653723918"/>
    <n v="-951383.33666939428"/>
    <n v="-1460573.346729767"/>
    <n v="-1103002.4313870452"/>
    <n v="-646871.76350717805"/>
    <n v="-1718065.1591334171"/>
    <n v="-597000.48483663867"/>
    <n v="-151074.33900000004"/>
    <n v="0"/>
    <n v="0"/>
    <n v="0"/>
    <n v="0"/>
    <n v="0"/>
    <n v="0"/>
    <n v="0"/>
    <n v="0"/>
    <n v="0"/>
    <n v="0"/>
    <n v="0"/>
    <m/>
    <m/>
    <n v="0"/>
    <m/>
    <m/>
    <m/>
    <m/>
    <m/>
    <m/>
    <m/>
    <m/>
    <m/>
    <m/>
    <m/>
    <m/>
    <m/>
  </r>
  <r>
    <n v="13"/>
    <x v="33"/>
    <x v="1"/>
    <x v="23"/>
    <s v="Karnál kiválósági visszahagyás +1,5 %"/>
    <x v="1"/>
    <x v="67"/>
    <s v="NEM TERVEZENDŐ"/>
    <n v="14511284.828461727"/>
    <n v="14511285"/>
    <n v="-0.17153827287256718"/>
    <n v="14511285"/>
    <m/>
    <m/>
    <m/>
    <m/>
    <m/>
    <m/>
    <m/>
    <m/>
    <m/>
    <m/>
    <m/>
    <m/>
    <m/>
    <m/>
    <m/>
    <m/>
    <m/>
    <m/>
    <m/>
    <n v="14511285"/>
    <m/>
    <m/>
    <m/>
    <m/>
    <m/>
    <m/>
    <m/>
    <m/>
    <m/>
    <m/>
    <m/>
    <m/>
    <m/>
    <m/>
    <m/>
    <m/>
    <m/>
    <m/>
    <m/>
    <m/>
    <m/>
    <m/>
  </r>
  <r>
    <n v="14"/>
    <x v="34"/>
    <x v="1"/>
    <x v="24"/>
    <s v="Belső átrendezés gyakorlatszervezés működésre"/>
    <x v="1"/>
    <x v="68"/>
    <s v="T tanárképzés közös ktg"/>
    <n v="-9945198.5999999996"/>
    <n v="-9945198.5999999996"/>
    <n v="0"/>
    <n v="0"/>
    <n v="3"/>
    <n v="-2223244.0556313992"/>
    <n v="-509139.86006825935"/>
    <n v="-101827.97201365187"/>
    <n v="-695824.47542662115"/>
    <n v="-254569.93003412968"/>
    <n v="-678853.14675767918"/>
    <n v="-678853.14675767918"/>
    <n v="-967365.73412969278"/>
    <n v="-560053.84607508534"/>
    <n v="-543082.51740614336"/>
    <n v="-67885.314675767921"/>
    <n v="-2359014.684982935"/>
    <n v="-305483.91604095564"/>
    <n v="0"/>
    <n v="0"/>
    <m/>
    <m/>
    <m/>
    <m/>
    <m/>
    <m/>
    <m/>
    <m/>
    <m/>
    <m/>
    <m/>
    <m/>
    <m/>
    <m/>
    <m/>
    <m/>
    <m/>
    <m/>
    <m/>
    <m/>
    <m/>
    <m/>
    <m/>
    <m/>
    <m/>
    <n v="9945198.5999999996"/>
  </r>
  <r>
    <n v="15"/>
    <x v="35"/>
    <x v="1"/>
    <x v="24"/>
    <s v="Belső átrendezés tanárképzés gyakorlatszervezésre"/>
    <x v="1"/>
    <x v="68"/>
    <s v="T tanárképzés közös ktg"/>
    <n v="2965575"/>
    <n v="2965575"/>
    <n v="0"/>
    <n v="0"/>
    <n v="3"/>
    <n v="662952.77303754271"/>
    <n v="151821.24573378838"/>
    <n v="30364.249146757676"/>
    <n v="207489.03583617747"/>
    <n v="75910.622866894191"/>
    <n v="202428.32764505121"/>
    <n v="202428.32764505121"/>
    <n v="288460.36689419794"/>
    <n v="167003.37030716724"/>
    <n v="161942.66211604097"/>
    <n v="20242.832764505121"/>
    <n v="703438.43856655294"/>
    <n v="91092.747440273029"/>
    <n v="0"/>
    <n v="0"/>
    <m/>
    <m/>
    <m/>
    <m/>
    <m/>
    <m/>
    <m/>
    <m/>
    <m/>
    <m/>
    <m/>
    <m/>
    <m/>
    <m/>
    <m/>
    <m/>
    <m/>
    <m/>
    <m/>
    <m/>
    <m/>
    <m/>
    <m/>
    <m/>
    <m/>
    <n v="-2965575"/>
  </r>
  <r>
    <n v="16"/>
    <x v="36"/>
    <x v="1"/>
    <x v="25"/>
    <s v="Kiválósági ösztöndíjhoz hozzájárulás (-7,808mFt maradvány, 2022/23 II. félév  és 2023/24 I. félév tanév becsült adatai alapján"/>
    <x v="1"/>
    <x v="69"/>
    <s v="T Belső működésre átadás"/>
    <n v="-16800287"/>
    <n v="-16800286.999999996"/>
    <n v="0"/>
    <n v="0"/>
    <n v="6"/>
    <n v="-5143375.1919698874"/>
    <n v="-632382.19573400251"/>
    <n v="-126476.43914680051"/>
    <n v="-864255.66750313668"/>
    <n v="-316191.09786700126"/>
    <n v="-843176.26097867009"/>
    <n v="-843176.26097867009"/>
    <n v="-1201526.1718946048"/>
    <n v="-1918225.9937264742"/>
    <n v="-906414.48055207019"/>
    <n v="-168635.25219573398"/>
    <n v="-3457022.6700125467"/>
    <n v="-379429.31744040153"/>
    <n v="0"/>
    <n v="0"/>
    <m/>
    <m/>
    <m/>
    <m/>
    <m/>
    <m/>
    <m/>
    <m/>
    <m/>
    <m/>
    <m/>
    <m/>
    <m/>
    <m/>
    <m/>
    <m/>
    <m/>
    <m/>
    <m/>
    <m/>
    <m/>
    <m/>
    <m/>
    <m/>
    <m/>
    <m/>
  </r>
  <r>
    <n v="17"/>
    <x v="37"/>
    <x v="1"/>
    <x v="26"/>
    <s v="Szocho elvonás"/>
    <x v="1"/>
    <x v="70"/>
    <s v="T SZOCHO megtakarítás"/>
    <n v="-42158065"/>
    <n v="-42158064.999999993"/>
    <n v="0"/>
    <n v="0"/>
    <n v="11"/>
    <n v="-4820583.727661931"/>
    <n v="-5278215.0115203308"/>
    <n v="-910240.55914380308"/>
    <n v="-4930199.807549784"/>
    <n v="-1799832.003928347"/>
    <n v="-3021754.0065953373"/>
    <n v="-1038182.2868817666"/>
    <n v="-2840179.1758570671"/>
    <n v="-3597714.5815596357"/>
    <n v="-2081067.2130609958"/>
    <n v="-1088063.6090523158"/>
    <n v="-3557534.5011682711"/>
    <n v="-2469546.7112738867"/>
    <n v="-3529775.8021379118"/>
    <n v="0"/>
    <n v="-1195176.0026086136"/>
    <n v="0"/>
    <n v="0"/>
    <n v="0"/>
    <n v="0"/>
    <n v="0"/>
    <n v="0"/>
    <n v="0"/>
    <n v="0"/>
    <n v="0"/>
    <n v="0"/>
    <n v="0"/>
    <n v="0"/>
    <m/>
    <m/>
    <m/>
    <n v="42158065"/>
    <m/>
    <m/>
    <m/>
    <m/>
    <m/>
    <m/>
    <m/>
    <m/>
    <m/>
  </r>
  <r>
    <s v="18. a)"/>
    <x v="38"/>
    <x v="1"/>
    <x v="27"/>
    <s v="Belföldi és külföldi folyóiratra átrendezés"/>
    <x v="1"/>
    <x v="0"/>
    <s v="ÖSSZEGZŐ SOR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n v="0"/>
    <n v="0"/>
    <m/>
    <m/>
    <m/>
    <m/>
  </r>
  <r>
    <m/>
    <x v="0"/>
    <x v="0"/>
    <x v="0"/>
    <s v="Belföldi folyóirat"/>
    <x v="0"/>
    <x v="0"/>
    <s v="ÖSSZEGZŐ SOR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n v="0"/>
    <m/>
    <m/>
    <m/>
    <m/>
    <m/>
  </r>
  <r>
    <m/>
    <x v="0"/>
    <x v="0"/>
    <x v="0"/>
    <s v="Bevételátadás folyóiratra, saját bevétel"/>
    <x v="3"/>
    <x v="71"/>
    <s v="SB Folyóiratok finanszírozása"/>
    <m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n v="0"/>
    <m/>
    <m/>
    <m/>
    <m/>
    <m/>
  </r>
  <r>
    <m/>
    <x v="0"/>
    <x v="0"/>
    <x v="0"/>
    <s v="Bevételátadás folyóiratra, támogatás"/>
    <x v="3"/>
    <x v="72"/>
    <s v="T Folyóiratok finanszírozása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n v="0"/>
    <m/>
    <m/>
    <m/>
    <m/>
    <m/>
  </r>
  <r>
    <m/>
    <x v="0"/>
    <x v="0"/>
    <x v="0"/>
    <s v="Külföldi folyóirat"/>
    <x v="0"/>
    <x v="0"/>
    <s v="ÖSSZEGZŐ SOR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n v="0"/>
    <m/>
    <m/>
    <m/>
    <m/>
  </r>
  <r>
    <m/>
    <x v="0"/>
    <x v="0"/>
    <x v="0"/>
    <s v="Bevételátadás folyóiratra, saját bevétel"/>
    <x v="3"/>
    <x v="71"/>
    <s v="SB Folyóiratok finanszírozása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n v="0"/>
    <m/>
    <m/>
    <m/>
    <m/>
  </r>
  <r>
    <m/>
    <x v="0"/>
    <x v="0"/>
    <x v="0"/>
    <s v="Bevételátadás folyóiratra, támogatás"/>
    <x v="3"/>
    <x v="72"/>
    <s v="T Folyóiratok finanszírozása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n v="0"/>
    <m/>
    <m/>
    <m/>
    <m/>
  </r>
  <r>
    <s v="18. b)"/>
    <x v="39"/>
    <x v="1"/>
    <x v="28"/>
    <s v="EISZ kari részre átrendezés"/>
    <x v="1"/>
    <x v="0"/>
    <s v="ÖSSZEGZŐ SOR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n v="0"/>
    <m/>
    <m/>
    <m/>
    <m/>
    <m/>
    <m/>
  </r>
  <r>
    <m/>
    <x v="0"/>
    <x v="0"/>
    <x v="0"/>
    <s v="Bevételátadás EISZ kari rész, saját bevétel"/>
    <x v="3"/>
    <x v="71"/>
    <s v="SB Folyóiratok finanszírozása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n v="0"/>
    <m/>
    <m/>
    <m/>
    <m/>
    <m/>
    <m/>
  </r>
  <r>
    <m/>
    <x v="0"/>
    <x v="0"/>
    <x v="0"/>
    <s v="Bevételátadás EISZ kari rész, támogatás"/>
    <x v="3"/>
    <x v="72"/>
    <s v="T Folyóiratok finanszírozása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n v="0"/>
    <m/>
    <m/>
    <m/>
    <m/>
    <m/>
    <m/>
  </r>
  <r>
    <s v="18. c)"/>
    <x v="40"/>
    <x v="1"/>
    <x v="29"/>
    <s v="Tárgyévi közterületesítés miatti átrendezés"/>
    <x v="1"/>
    <x v="0"/>
    <s v="ÖSSZEGZŐ SOR"/>
    <n v="-1268176"/>
    <n v="-1268176"/>
    <n v="0"/>
    <n v="0"/>
    <m/>
    <n v="-328767.51185835776"/>
    <n v="-79368.405119197007"/>
    <n v="-17000.948579394953"/>
    <n v="-95506.576774013651"/>
    <n v="-36866.033670709599"/>
    <n v="-72006.513492262646"/>
    <n v="-49461.162381151546"/>
    <n v="-88236.620393140955"/>
    <n v="-131969.50975045309"/>
    <n v="-91779.663337515696"/>
    <n v="-35819.386254008081"/>
    <n v="-196027.16042938796"/>
    <n v="-45366.507960407085"/>
    <n v="0"/>
    <n v="0"/>
    <m/>
    <m/>
    <m/>
    <m/>
    <m/>
    <m/>
    <m/>
    <m/>
    <m/>
    <m/>
    <m/>
    <m/>
    <m/>
    <n v="1268176"/>
    <m/>
    <m/>
    <m/>
    <m/>
    <m/>
    <m/>
    <m/>
    <m/>
    <m/>
    <m/>
    <m/>
    <m/>
  </r>
  <r>
    <m/>
    <x v="0"/>
    <x v="0"/>
    <x v="0"/>
    <s v="Tárgyévi közterületesítés miatti átrendezés, saját bevétel"/>
    <x v="3"/>
    <x v="73"/>
    <s v="SB Közterületesítési különbözet"/>
    <m/>
    <n v="0"/>
    <n v="0"/>
    <n v="0"/>
    <n v="9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n v="0"/>
    <m/>
    <m/>
    <m/>
    <m/>
    <m/>
    <m/>
    <m/>
    <m/>
    <m/>
    <m/>
    <m/>
    <m/>
  </r>
  <r>
    <m/>
    <x v="0"/>
    <x v="0"/>
    <x v="0"/>
    <s v="Tárgyévi közterületesítés miatti átrendezés, támogatás"/>
    <x v="3"/>
    <x v="74"/>
    <s v="T Közterületesítési különbözet"/>
    <n v="-1268176"/>
    <n v="-1268176"/>
    <n v="0"/>
    <n v="0"/>
    <n v="9"/>
    <n v="-328767.51185835776"/>
    <n v="-79368.405119197007"/>
    <n v="-17000.948579394953"/>
    <n v="-95506.576774013651"/>
    <n v="-36866.033670709599"/>
    <n v="-72006.513492262646"/>
    <n v="-49461.162381151546"/>
    <n v="-88236.620393140955"/>
    <n v="-131969.50975045309"/>
    <n v="-91779.663337515696"/>
    <n v="-35819.386254008081"/>
    <n v="-196027.16042938796"/>
    <n v="-45366.507960407085"/>
    <n v="0"/>
    <n v="0"/>
    <m/>
    <m/>
    <m/>
    <m/>
    <m/>
    <m/>
    <m/>
    <m/>
    <m/>
    <m/>
    <m/>
    <m/>
    <m/>
    <n v="1268176"/>
    <m/>
    <m/>
    <m/>
    <m/>
    <m/>
    <m/>
    <m/>
    <m/>
    <m/>
    <m/>
    <m/>
    <m/>
  </r>
  <r>
    <s v="18. d)"/>
    <x v="41"/>
    <x v="1"/>
    <x v="30"/>
    <s v="Előirányzat csökkentéshez hozzájárulás tárgyévi összes bevétel és tervezett pályázati kiadás alapján"/>
    <x v="1"/>
    <x v="0"/>
    <s v="ÖSSZEGZŐ SOR"/>
    <n v="-10131830.074916951"/>
    <n v="-10131829.999999998"/>
    <n v="-7.4916953220963478E-2"/>
    <n v="0"/>
    <m/>
    <n v="-2646342.0063978843"/>
    <n v="-425270.87715152424"/>
    <n v="-72812.976008187237"/>
    <n v="-637706.81065314508"/>
    <n v="-176786.21754419769"/>
    <n v="-895379.14162641519"/>
    <n v="-485505.03011699242"/>
    <n v="-870953.98097249749"/>
    <n v="-1040394.5624458165"/>
    <n v="-649361.66222659545"/>
    <n v="-70976.918856533608"/>
    <n v="-1850399.9631636504"/>
    <n v="-309939.85283656005"/>
    <n v="0"/>
    <n v="0"/>
    <m/>
    <m/>
    <m/>
    <m/>
    <m/>
    <m/>
    <m/>
    <m/>
    <m/>
    <m/>
    <m/>
    <m/>
    <m/>
    <m/>
    <n v="10131830"/>
    <m/>
    <m/>
    <m/>
    <m/>
    <m/>
    <m/>
    <m/>
    <m/>
    <m/>
    <m/>
    <m/>
  </r>
  <r>
    <m/>
    <x v="0"/>
    <x v="0"/>
    <x v="0"/>
    <s v="Előirányzat csökkentéshez hozzájárulás tárgyévi összes bevétel és tervezett pályázati kiadás alapján, saját bevétel"/>
    <x v="3"/>
    <x v="75"/>
    <s v="SB Előirányzat csökkentés hozzájárulás"/>
    <m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n v="0"/>
    <m/>
    <m/>
    <m/>
    <m/>
    <m/>
    <m/>
    <m/>
    <m/>
    <m/>
    <m/>
    <m/>
  </r>
  <r>
    <m/>
    <x v="0"/>
    <x v="0"/>
    <x v="0"/>
    <s v="Előirányzat csökkentéshez hozzájárulás tárgyévi összes bevétel és tervezett pályázati kiadás alapján, támogatás"/>
    <x v="3"/>
    <x v="76"/>
    <s v="T Előirányzat csökkentés hozzájárulás"/>
    <n v="-10131830"/>
    <n v="-10131829.999999998"/>
    <n v="0"/>
    <n v="0"/>
    <n v="7"/>
    <n v="-2646342.0063978843"/>
    <n v="-425270.87715152424"/>
    <n v="-72812.976008187237"/>
    <n v="-637706.81065314508"/>
    <n v="-176786.21754419769"/>
    <n v="-895379.14162641519"/>
    <n v="-485505.03011699242"/>
    <n v="-870953.98097249749"/>
    <n v="-1040394.5624458165"/>
    <n v="-649361.66222659545"/>
    <n v="-70976.918856533608"/>
    <n v="-1850399.9631636504"/>
    <n v="-309939.85283656005"/>
    <n v="0"/>
    <n v="0"/>
    <m/>
    <m/>
    <m/>
    <m/>
    <m/>
    <m/>
    <m/>
    <m/>
    <m/>
    <m/>
    <m/>
    <m/>
    <m/>
    <m/>
    <n v="10131830"/>
    <m/>
    <m/>
    <m/>
    <m/>
    <m/>
    <m/>
    <m/>
    <m/>
    <m/>
    <m/>
    <m/>
  </r>
  <r>
    <s v="18. e)"/>
    <x v="42"/>
    <x v="1"/>
    <x v="31"/>
    <s v="Karok közötti belső átoktatási megállapodások"/>
    <x v="1"/>
    <x v="0"/>
    <s v="ÖSSZEGZŐ SOR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ok közötti belső átoktatási megállapodások, saját bevétel"/>
    <x v="3"/>
    <x v="0"/>
    <m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ok közötti belső átoktatási megállapodások, támogatás"/>
    <x v="3"/>
    <x v="0"/>
    <m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Bevételátadás informatikai kiadásokra, összesen"/>
    <x v="1"/>
    <x v="0"/>
    <s v="ÖSSZEGZŐ SOR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n v="0"/>
    <m/>
    <m/>
    <m/>
    <m/>
    <m/>
    <m/>
    <m/>
    <m/>
    <m/>
    <m/>
    <m/>
    <m/>
    <m/>
    <m/>
    <m/>
    <m/>
    <m/>
    <m/>
    <m/>
  </r>
  <r>
    <m/>
    <x v="0"/>
    <x v="0"/>
    <x v="0"/>
    <s v="Bevételátadás informatikai kiadásokra, saját bevétel"/>
    <x v="3"/>
    <x v="77"/>
    <s v="SB Informatikai közvetlen költségek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n v="0"/>
    <m/>
    <m/>
    <m/>
    <m/>
    <m/>
    <m/>
    <m/>
    <m/>
    <m/>
    <m/>
    <m/>
    <m/>
    <m/>
    <m/>
    <m/>
    <m/>
    <m/>
    <m/>
    <m/>
  </r>
  <r>
    <m/>
    <x v="0"/>
    <x v="0"/>
    <x v="0"/>
    <s v="Bevételátadás informatikai kiadásokra, támogatás"/>
    <x v="3"/>
    <x v="78"/>
    <s v="T Informatikai közvetlen költségek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n v="0"/>
    <m/>
    <m/>
    <m/>
    <m/>
    <m/>
    <m/>
    <m/>
    <m/>
    <m/>
    <m/>
    <m/>
    <m/>
    <m/>
    <m/>
    <m/>
    <m/>
    <m/>
    <m/>
    <m/>
  </r>
  <r>
    <m/>
    <x v="0"/>
    <x v="0"/>
    <x v="0"/>
    <s v="Bevételátadás informatikai kiadásokra - visszahagyás"/>
    <x v="1"/>
    <x v="67"/>
    <s v="NEM TERVEZENDŐ"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Bevételátadás üzemeltetési kiadásokra, összesen"/>
    <x v="1"/>
    <x v="0"/>
    <s v="ÖSSZEGZŐ SOR"/>
    <n v="-150400572.10858312"/>
    <n v="-4"/>
    <n v="-150400568.10858312"/>
    <n v="-4"/>
    <m/>
    <n v="-38990504.345227942"/>
    <n v="-9412773.5650690105"/>
    <n v="-2016244.110347135"/>
    <n v="-11326695.802927645"/>
    <n v="-4372163.2892011702"/>
    <n v="-8539682.8334253449"/>
    <n v="-5865894.8867586786"/>
    <n v="-10464508.221631117"/>
    <n v="-15651052.971375993"/>
    <n v="-10884698.861932248"/>
    <n v="-4248035.1160184024"/>
    <n v="-23248032.651710577"/>
    <n v="-5380285.3443747396"/>
    <n v="0"/>
    <n v="0"/>
    <m/>
    <m/>
    <m/>
    <m/>
    <m/>
    <m/>
    <m/>
    <m/>
    <m/>
    <m/>
    <n v="618591"/>
    <n v="17322394"/>
    <n v="132459583"/>
    <m/>
    <m/>
    <m/>
    <m/>
    <m/>
    <m/>
    <m/>
    <m/>
    <m/>
    <m/>
    <m/>
    <m/>
    <m/>
  </r>
  <r>
    <m/>
    <x v="0"/>
    <x v="0"/>
    <x v="0"/>
    <s v="Bevételátadás üzemeltetési kiadásokra, saját bevétel"/>
    <x v="3"/>
    <x v="79"/>
    <s v="SB Üzemeltetési feladatok"/>
    <m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Bevételátadás üzemeltetési kiadásokra, támogatás"/>
    <x v="3"/>
    <x v="80"/>
    <s v="T Üzemeltetési feladatok"/>
    <n v="-150400572"/>
    <n v="-4"/>
    <n v="-150400568"/>
    <n v="-4"/>
    <n v="9"/>
    <n v="-38990504.345227942"/>
    <n v="-9412773.5650690105"/>
    <n v="-2016244.110347135"/>
    <n v="-11326695.802927645"/>
    <n v="-4372163.2892011702"/>
    <n v="-8539682.8334253449"/>
    <n v="-5865894.8867586786"/>
    <n v="-10464508.221631117"/>
    <n v="-15651052.971375993"/>
    <n v="-10884698.861932248"/>
    <n v="-4248035.1160184024"/>
    <n v="-23248032.651710577"/>
    <n v="-5380285.3443747396"/>
    <n v="0"/>
    <n v="0"/>
    <n v="0"/>
    <n v="0"/>
    <n v="0"/>
    <m/>
    <m/>
    <m/>
    <m/>
    <m/>
    <m/>
    <m/>
    <n v="618591"/>
    <n v="17322394"/>
    <n v="132459583"/>
    <m/>
    <m/>
    <m/>
    <m/>
    <m/>
    <m/>
    <m/>
    <m/>
    <m/>
    <m/>
    <m/>
    <m/>
    <m/>
  </r>
  <r>
    <m/>
    <x v="0"/>
    <x v="0"/>
    <x v="0"/>
    <s v="Bevételátadás üzemeltetési kiadásokra - visszahagyás"/>
    <x v="1"/>
    <x v="67"/>
    <s v="NEM TERVEZENDŐ"/>
    <n v="150400572.10858312"/>
    <n v="0"/>
    <n v="150400572.108583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19"/>
    <x v="43"/>
    <x v="1"/>
    <x v="32"/>
    <s v="Nemzeköziesítésre elvonás"/>
    <x v="1"/>
    <x v="0"/>
    <s v="ÖSSZEGZŐ SOR"/>
    <n v="-95377"/>
    <n v="-95377.41"/>
    <n v="0.41000000000349246"/>
    <n v="0"/>
    <m/>
    <n v="-95377.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m/>
    <m/>
    <m/>
    <m/>
    <n v="95377.41"/>
    <m/>
    <m/>
    <m/>
    <m/>
    <m/>
    <m/>
    <m/>
    <m/>
  </r>
  <r>
    <m/>
    <x v="0"/>
    <x v="0"/>
    <x v="0"/>
    <s v="Nemzeköziesítésre elvonás, saját bevétel"/>
    <x v="3"/>
    <x v="81"/>
    <s v="SB Nemzetköziesítési feladatok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m/>
    <m/>
    <m/>
    <m/>
    <n v="0"/>
    <m/>
    <m/>
    <m/>
    <m/>
    <m/>
    <m/>
    <m/>
    <m/>
  </r>
  <r>
    <m/>
    <x v="0"/>
    <x v="0"/>
    <x v="0"/>
    <s v="Nemzeköziesítésre elvonás, támogatás"/>
    <x v="3"/>
    <x v="82"/>
    <s v="T Nemzetköziesítési feladatok"/>
    <n v="-95377.41"/>
    <n v="-95377.41"/>
    <n v="0"/>
    <n v="0"/>
    <n v="13"/>
    <n v="-95377.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m/>
    <m/>
    <m/>
    <m/>
    <n v="95377.41"/>
    <m/>
    <m/>
    <m/>
    <m/>
    <m/>
    <m/>
    <m/>
    <m/>
  </r>
  <r>
    <m/>
    <x v="44"/>
    <x v="3"/>
    <x v="33"/>
    <s v="Bevételi egyenleg I. (itt lévő előirányzatok)"/>
    <x v="0"/>
    <x v="0"/>
    <m/>
    <n v="696501832.17637515"/>
    <n v="696501831.84422767"/>
    <n v="4.3321475386619568"/>
    <n v="967418984.56705081"/>
    <m/>
    <n v="114449256.96689934"/>
    <n v="30130930.464518815"/>
    <n v="6594473.6485224562"/>
    <n v="38318879.897286594"/>
    <n v="15209821.768434003"/>
    <n v="37991791.198833235"/>
    <n v="16386235.719409989"/>
    <n v="44161438.081219301"/>
    <n v="56446884.581848852"/>
    <n v="45145583.776663385"/>
    <n v="29115230.09543905"/>
    <n v="61473630.763170473"/>
    <n v="23382514.650728691"/>
    <n v="4376447.9388620891"/>
    <n v="0"/>
    <n v="4481855.2923913877"/>
    <n v="3925000"/>
    <n v="0"/>
    <n v="14511285"/>
    <n v="0"/>
    <n v="0"/>
    <n v="0"/>
    <n v="0"/>
    <n v="0"/>
    <n v="0"/>
    <n v="618591"/>
    <n v="17322394"/>
    <n v="132459583"/>
    <n v="1268176"/>
    <n v="10131830"/>
    <n v="188646702.77000248"/>
    <n v="42158065"/>
    <n v="95377.41"/>
    <n v="4837094.942820576"/>
    <n v="0"/>
    <n v="0"/>
    <n v="0"/>
    <n v="0"/>
    <n v="0"/>
    <n v="0"/>
    <n v="6979623.5999999996"/>
  </r>
  <r>
    <n v="21"/>
    <x v="45"/>
    <x v="1"/>
    <x v="34"/>
    <s v="2022. év végi maradvány (kari gazda) szabad keret (S*ITTNEMEI, *PALYREZSI, kari kiválósági, függő bevétel kizárásával)"/>
    <x v="4"/>
    <x v="0"/>
    <s v="Maradvány"/>
    <n v="70278099"/>
    <n v="70278099"/>
    <n v="0"/>
    <n v="70278099"/>
    <m/>
    <n v="3714820"/>
    <n v="1012470"/>
    <n v="584460"/>
    <n v="2201866"/>
    <n v="379626"/>
    <n v="716352"/>
    <n v="1342595"/>
    <n v="4354917"/>
    <n v="2268446"/>
    <n v="4252399"/>
    <n v="0"/>
    <n v="2886840"/>
    <n v="3955934"/>
    <n v="7850662"/>
    <m/>
    <n v="28743405"/>
    <n v="-6908500"/>
    <n v="-15000"/>
    <m/>
    <m/>
    <m/>
    <m/>
    <m/>
    <m/>
    <m/>
    <n v="-21236"/>
    <n v="1540564"/>
    <n v="11417479"/>
    <m/>
    <m/>
    <m/>
    <m/>
    <m/>
    <m/>
    <m/>
    <m/>
    <m/>
    <m/>
    <m/>
    <m/>
    <m/>
  </r>
  <r>
    <n v="22"/>
    <x v="45"/>
    <x v="1"/>
    <x v="34"/>
    <s v="2022. év végi maradvány (kari gazda) átfordult kötelezettségvállalás"/>
    <x v="4"/>
    <x v="0"/>
    <s v="Maradvány"/>
    <n v="-20922133"/>
    <n v="-20922133"/>
    <n v="0"/>
    <n v="-20922133"/>
    <m/>
    <n v="-164169"/>
    <n v="-133526"/>
    <n v="-370442"/>
    <n v="-288039"/>
    <n v="-34240"/>
    <n v="-130187"/>
    <n v="-19263"/>
    <n v="-1646000"/>
    <n v="-1487537"/>
    <n v="-545294"/>
    <n v="0"/>
    <n v="-733412"/>
    <n v="-42900"/>
    <n v="-101754"/>
    <m/>
    <n v="-14976102"/>
    <n v="0"/>
    <n v="0"/>
    <m/>
    <m/>
    <m/>
    <m/>
    <m/>
    <m/>
    <m/>
    <n v="0"/>
    <n v="0"/>
    <n v="-249268"/>
    <m/>
    <m/>
    <m/>
    <m/>
    <m/>
    <m/>
    <m/>
    <m/>
    <m/>
    <m/>
    <m/>
    <m/>
    <m/>
  </r>
  <r>
    <s v="22x"/>
    <x v="45"/>
    <x v="1"/>
    <x v="34"/>
    <s v="MÓDOSULÁS 2022. év végi maradvány (kari gazda) átfordult kötelezettségvállalás"/>
    <x v="4"/>
    <x v="0"/>
    <s v="Maradvány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23"/>
    <x v="45"/>
    <x v="1"/>
    <x v="34"/>
    <s v="Kari kiválósági keretek 2022. év végi költhető maradványa"/>
    <x v="4"/>
    <x v="0"/>
    <s v="Maradvány"/>
    <n v="5932764"/>
    <n v="5932764"/>
    <n v="0"/>
    <n v="5932764"/>
    <m/>
    <m/>
    <m/>
    <m/>
    <m/>
    <m/>
    <m/>
    <m/>
    <m/>
    <m/>
    <m/>
    <m/>
    <m/>
    <m/>
    <m/>
    <m/>
    <m/>
    <m/>
    <m/>
    <n v="5932764"/>
    <m/>
    <m/>
    <m/>
    <m/>
    <m/>
    <m/>
    <m/>
    <m/>
    <m/>
    <m/>
    <m/>
    <m/>
    <m/>
    <m/>
    <m/>
    <m/>
    <m/>
    <m/>
    <m/>
    <m/>
    <m/>
    <m/>
  </r>
  <r>
    <n v="24"/>
    <x v="45"/>
    <x v="1"/>
    <x v="34"/>
    <s v="Közterületesítés elszámolás"/>
    <x v="4"/>
    <x v="0"/>
    <s v="Maradvány"/>
    <n v="870936"/>
    <n v="870936"/>
    <n v="0"/>
    <n v="870936"/>
    <n v="9"/>
    <n v="225785.27089920538"/>
    <n v="54507.261831869517"/>
    <n v="11675.617699707234"/>
    <n v="65590.356503554998"/>
    <n v="25318.217582601421"/>
    <n v="49451.389109159347"/>
    <n v="33968.082442492683"/>
    <n v="60597.621480552079"/>
    <n v="90631.739556670844"/>
    <n v="63030.851292346313"/>
    <n v="24599.4191551652"/>
    <n v="134624.14601421996"/>
    <n v="31156.026432455044"/>
    <n v="0"/>
    <n v="0"/>
    <m/>
    <m/>
    <m/>
    <m/>
    <m/>
    <m/>
    <m/>
    <m/>
    <m/>
    <m/>
    <m/>
    <m/>
    <m/>
    <m/>
    <m/>
    <m/>
    <m/>
    <m/>
    <m/>
    <m/>
    <m/>
    <m/>
    <m/>
    <m/>
    <m/>
    <m/>
  </r>
  <r>
    <n v="26"/>
    <x v="45"/>
    <x v="1"/>
    <x v="34"/>
    <s v="PALYREZSI elszámolás"/>
    <x v="4"/>
    <x v="0"/>
    <s v="Maradvány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</r>
  <r>
    <n v="27"/>
    <x v="45"/>
    <x v="1"/>
    <x v="34"/>
    <s v="Belföldi-külföldi folyóirat és EISZ  elszámolás"/>
    <x v="4"/>
    <x v="0"/>
    <s v="Maradvány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</r>
  <r>
    <s v="28."/>
    <x v="45"/>
    <x v="1"/>
    <x v="34"/>
    <s v="2022 évben végrehajtott  saját és egyéb képzési bevétel átoktatások korrekciója"/>
    <x v="4"/>
    <x v="0"/>
    <s v="Maradvány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</r>
  <r>
    <s v="29. a)"/>
    <x v="45"/>
    <x v="1"/>
    <x v="34"/>
    <s v="Elszámolások utáni ÁKTH -19,5% maradványban elszámolva"/>
    <x v="4"/>
    <x v="0"/>
    <s v="Maradvány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</r>
  <r>
    <s v="29. b)"/>
    <x v="45"/>
    <x v="1"/>
    <x v="34"/>
    <s v="Elszámolások utáni kari -1,5% maradványban elszámolva"/>
    <x v="4"/>
    <x v="0"/>
    <s v="Maradvány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</r>
  <r>
    <s v="29. c)"/>
    <x v="45"/>
    <x v="1"/>
    <x v="34"/>
    <s v="Karnál kari kiválósági +1,5% visszahagyás"/>
    <x v="4"/>
    <x v="0"/>
    <s v="Maradvány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</r>
  <r>
    <s v="29. d)"/>
    <x v="45"/>
    <x v="1"/>
    <x v="34"/>
    <s v="Elszámolások utáni egyetemi kiválósági -0,5% maradványban elszámolva"/>
    <x v="4"/>
    <x v="0"/>
    <s v="Maradvány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</r>
  <r>
    <n v="31"/>
    <x v="45"/>
    <x v="1"/>
    <x v="34"/>
    <s v="2022. 3-4. negyedévi telefon költség elszámolás "/>
    <x v="4"/>
    <x v="0"/>
    <s v="Maradvány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n v="32"/>
    <x v="45"/>
    <x v="1"/>
    <x v="34"/>
    <s v="2022. évi telefon kötváll felszabadítás"/>
    <x v="4"/>
    <x v="0"/>
    <s v="Maradvány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46"/>
    <x v="4"/>
    <x v="35"/>
    <s v="Bevételi egyenleg II. (Bevételi egyenleg I. + maradvány és korrekciói)"/>
    <x v="0"/>
    <x v="0"/>
    <m/>
    <n v="752661498.17637515"/>
    <n v="752661497.84422767"/>
    <n v="4.3321475386619568"/>
    <n v="1023578650.5670508"/>
    <m/>
    <n v="118225693.23779854"/>
    <n v="31064381.726350684"/>
    <n v="6820167.2662221631"/>
    <n v="40298297.253790148"/>
    <n v="15580525.986016605"/>
    <n v="38627407.587942392"/>
    <n v="17743535.80185248"/>
    <n v="46930952.702699855"/>
    <n v="57318425.321405523"/>
    <n v="48915719.627955735"/>
    <n v="29139829.514594216"/>
    <n v="63761682.909184694"/>
    <n v="27326704.677161146"/>
    <n v="12125355.938862089"/>
    <n v="0"/>
    <n v="18249158.29239139"/>
    <n v="-2983500"/>
    <n v="-15000"/>
    <n v="20444049"/>
    <n v="0"/>
    <n v="0"/>
    <n v="0"/>
    <n v="0"/>
    <n v="0"/>
    <n v="0"/>
    <n v="597355"/>
    <n v="18862958"/>
    <n v="143627794"/>
    <n v="1268176"/>
    <m/>
    <n v="188646702.77000248"/>
    <n v="42158065"/>
    <n v="95377.41"/>
    <n v="4837094.942820576"/>
    <n v="0"/>
    <n v="0"/>
    <n v="0"/>
    <n v="0"/>
    <n v="0"/>
    <n v="0"/>
    <n v="6979623.5999999996"/>
  </r>
  <r>
    <n v="34"/>
    <x v="47"/>
    <x v="1"/>
    <x v="36"/>
    <s v="2022. évi képzési támogatás elszámolás - bruttó - minisztérium által  visszaigazolt  összeg 2022.12.09-i &quot;képzési elszámolás&quot; arányainak (visszafizetés maradványból)"/>
    <x v="1"/>
    <x v="1"/>
    <s v="T Képzési finanszírozás átadás"/>
    <n v="1967164.0522306"/>
    <n v="1967164.0522305996"/>
    <n v="0"/>
    <n v="1967164.0522305996"/>
    <n v="7"/>
    <n v="513805.39003257244"/>
    <n v="82569.247805485691"/>
    <n v="14137.137016633231"/>
    <n v="123815.13643433544"/>
    <n v="34324.252586429531"/>
    <n v="173843.98085287408"/>
    <n v="94264.120343835442"/>
    <n v="169101.66894985715"/>
    <n v="201999.71608086539"/>
    <n v="126078.00553590691"/>
    <n v="13780.65396997987"/>
    <n v="359267.80155059445"/>
    <n v="60176.9410712303"/>
    <n v="0"/>
    <m/>
    <m/>
    <m/>
    <m/>
    <m/>
    <m/>
    <m/>
    <m/>
    <m/>
    <m/>
    <m/>
    <m/>
    <m/>
    <m/>
    <m/>
    <m/>
    <m/>
    <m/>
    <m/>
    <m/>
    <m/>
    <m/>
    <m/>
    <m/>
    <m/>
    <m/>
    <m/>
  </r>
  <r>
    <s v="35. a)"/>
    <x v="48"/>
    <x v="1"/>
    <x v="37"/>
    <s v="2022 évi Stipendium Hungaricum szervezési keret előelszámolás - bruttó - tervezett összeg (előzetes)"/>
    <x v="4"/>
    <x v="0"/>
    <s v="Maradvány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</r>
  <r>
    <s v="35. b)"/>
    <x v="49"/>
    <x v="1"/>
    <x v="37"/>
    <s v="2022. évi SH képzési  támogatás elszámolás ELŐZETES összeg 2022.12.09-i &quot;képzési elszámolás arányainak&quot; megfelelően (visszafizetés maradványból)"/>
    <x v="4"/>
    <x v="0"/>
    <s v="Maradvány"/>
    <n v="-1687538.279215849"/>
    <n v="-1687538.279215849"/>
    <n v="0"/>
    <n v="0"/>
    <n v="18"/>
    <n v="0"/>
    <n v="0"/>
    <n v="0"/>
    <n v="-320632.27305101132"/>
    <n v="-421884.56980396225"/>
    <n v="0"/>
    <n v="0"/>
    <n v="-590638.39772554708"/>
    <n v="0"/>
    <n v="-354383.0386353283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</r>
  <r>
    <s v="35. c)"/>
    <x v="50"/>
    <x v="1"/>
    <x v="37"/>
    <s v="2022 évi Stipendium Hungaricum képzési költség előelszámolás - bruttó (előzetes)"/>
    <x v="4"/>
    <x v="0"/>
    <s v="Maradvány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</r>
  <r>
    <s v="37. a)"/>
    <x v="51"/>
    <x v="1"/>
    <x v="0"/>
    <s v="Alaptámogatás alulfinanszírozás miatti kiegészítése 2022 évi tényelszámolás arányainak figyelembe vételével"/>
    <x v="1"/>
    <x v="0"/>
    <s v="ÖSSZEGZŐ SOR"/>
    <n v="26063906"/>
    <n v="26063906.382554598"/>
    <n v="-0.38255459815263748"/>
    <n v="26063906.382554598"/>
    <m/>
    <n v="6806734.5230725715"/>
    <n v="1093788.8752248101"/>
    <n v="187267.56293636415"/>
    <n v="1640198.2182106208"/>
    <n v="454673.11719405977"/>
    <n v="2303061.566508323"/>
    <n v="1248669.5691086093"/>
    <n v="2240108.8434442244"/>
    <n v="2676159.7211863874"/>
    <n v="1670243.350946123"/>
    <n v="182558.41078207691"/>
    <n v="4759135.1386212232"/>
    <n v="797186.77423266263"/>
    <n v="0"/>
    <n v="0"/>
    <n v="4120.7110865431432"/>
    <m/>
    <m/>
    <m/>
    <m/>
    <m/>
    <m/>
    <m/>
    <m/>
    <m/>
    <m/>
    <m/>
    <m/>
    <m/>
    <m/>
    <m/>
    <m/>
    <m/>
    <m/>
    <m/>
    <m/>
    <m/>
    <m/>
    <m/>
    <m/>
    <m/>
  </r>
  <r>
    <m/>
    <x v="2"/>
    <x v="1"/>
    <x v="38"/>
    <s v="Képzési támogatás tervezése képzési munkaszámokra"/>
    <x v="2"/>
    <x v="1"/>
    <s v="Működési költségvetés támogatása - Képzés"/>
    <n v="38654944.191364057"/>
    <n v="38654944.191364057"/>
    <n v="0"/>
    <n v="38654944.191364057"/>
    <m/>
    <m/>
    <m/>
    <m/>
    <m/>
    <m/>
    <m/>
    <m/>
    <m/>
    <m/>
    <m/>
    <m/>
    <m/>
    <m/>
    <m/>
    <n v="0"/>
    <m/>
    <m/>
    <m/>
    <m/>
    <m/>
    <m/>
    <m/>
    <m/>
    <m/>
    <n v="38654944.191364057"/>
    <m/>
    <m/>
    <m/>
    <m/>
    <m/>
    <m/>
    <m/>
    <m/>
    <m/>
    <m/>
    <m/>
    <m/>
    <m/>
    <m/>
    <m/>
    <m/>
  </r>
  <r>
    <m/>
    <x v="3"/>
    <x v="1"/>
    <x v="38"/>
    <s v="Átoktatás átadás, támogatás"/>
    <x v="2"/>
    <x v="2"/>
    <s v="T Átoktatásra támogatás ÁTADÁS"/>
    <n v="-13384460.051352993"/>
    <n v="-13384460.051352993"/>
    <n v="0"/>
    <n v="0"/>
    <m/>
    <m/>
    <m/>
    <m/>
    <m/>
    <m/>
    <m/>
    <m/>
    <m/>
    <m/>
    <m/>
    <m/>
    <m/>
    <m/>
    <m/>
    <m/>
    <m/>
    <m/>
    <m/>
    <m/>
    <m/>
    <m/>
    <m/>
    <m/>
    <m/>
    <n v="-13384460.051352993"/>
    <m/>
    <m/>
    <m/>
    <m/>
    <m/>
    <m/>
    <m/>
    <m/>
    <m/>
    <m/>
    <m/>
    <m/>
    <m/>
    <m/>
    <m/>
    <m/>
  </r>
  <r>
    <m/>
    <x v="4"/>
    <x v="1"/>
    <x v="0"/>
    <s v="Átoktatással csökkentett képzési támogatás áthozatala képzési munkaszámokról intézetekre / tanszékekre, általános munkaszámra, hivatalokra"/>
    <x v="3"/>
    <x v="3"/>
    <s v="T Képzési finanszírozás átadás"/>
    <n v="25270484.140011065"/>
    <n v="-6.3329935073852539E-8"/>
    <n v="25270484.140011128"/>
    <n v="-6.3329935073852539E-8"/>
    <s v="22.b2"/>
    <n v="5475597.0349634588"/>
    <n v="774642.14816972183"/>
    <n v="126940.82194890818"/>
    <n v="1076529.3556992111"/>
    <n v="200838.48756184132"/>
    <n v="1880279.7378259008"/>
    <n v="842370.58477235993"/>
    <n v="1280688.1396999729"/>
    <n v="2328909.9791808426"/>
    <n v="1343349.8434881791"/>
    <n v="126887.91688256947"/>
    <n v="3355384.5724486788"/>
    <n v="566153.81426115718"/>
    <n v="0"/>
    <n v="0"/>
    <n v="5891911.7031081989"/>
    <m/>
    <m/>
    <m/>
    <m/>
    <m/>
    <m/>
    <m/>
    <m/>
    <n v="-25270484.140011065"/>
    <m/>
    <m/>
    <m/>
    <m/>
    <m/>
    <m/>
    <m/>
    <m/>
    <m/>
    <m/>
    <m/>
    <m/>
    <m/>
    <m/>
    <m/>
    <m/>
  </r>
  <r>
    <m/>
    <x v="4"/>
    <x v="1"/>
    <x v="0"/>
    <s v="Képzési támogatás felosztása általános munkaszámról intézetekre / tanszékekre"/>
    <x v="3"/>
    <x v="3"/>
    <s v="T Képzési finanszírozás átadás"/>
    <n v="0"/>
    <n v="0"/>
    <n v="0"/>
    <n v="0"/>
    <n v="3"/>
    <n v="1317133.8448927884"/>
    <n v="301633.70493727981"/>
    <n v="60326.74098745596"/>
    <n v="412232.73008094908"/>
    <n v="150816.8524686399"/>
    <n v="402178.27324970643"/>
    <n v="402178.27324970643"/>
    <n v="573104.03938083164"/>
    <n v="331797.07543100778"/>
    <n v="321742.61859976512"/>
    <n v="40217.82732497064"/>
    <n v="1397569.4995427297"/>
    <n v="180980.22296236787"/>
    <n v="0"/>
    <n v="0"/>
    <n v="-5891911.7031081989"/>
    <m/>
    <m/>
    <m/>
    <m/>
    <m/>
    <m/>
    <m/>
    <m/>
    <m/>
    <m/>
    <m/>
    <m/>
    <m/>
    <m/>
    <m/>
    <m/>
    <m/>
    <m/>
    <m/>
    <m/>
    <m/>
    <m/>
    <m/>
    <m/>
    <m/>
  </r>
  <r>
    <m/>
    <x v="5"/>
    <x v="1"/>
    <x v="39"/>
    <s v="Átoktatás átvétel, támogatás"/>
    <x v="3"/>
    <x v="4"/>
    <s v="T Átoktatásra támogatás ÁTVÉTEL"/>
    <n v="793422.24254359747"/>
    <n v="793422.24254359771"/>
    <n v="0"/>
    <n v="0"/>
    <s v="22.b3"/>
    <n v="14003.643216323833"/>
    <n v="17513.022117808356"/>
    <n v="0"/>
    <n v="151436.13243046051"/>
    <n v="103017.77716357856"/>
    <n v="20603.555432715715"/>
    <n v="4120.7110865431432"/>
    <n v="386316.66436341964"/>
    <n v="15452.666574536786"/>
    <n v="5150.8888581789279"/>
    <n v="15452.666574536786"/>
    <n v="6181.0666298147144"/>
    <n v="50052.737009137505"/>
    <n v="0"/>
    <n v="0"/>
    <n v="4120.7110865431432"/>
    <m/>
    <m/>
    <m/>
    <m/>
    <m/>
    <m/>
    <m/>
    <m/>
    <m/>
    <m/>
    <m/>
    <m/>
    <m/>
    <m/>
    <m/>
    <m/>
    <m/>
    <m/>
    <m/>
    <m/>
    <m/>
    <m/>
    <m/>
    <m/>
    <m/>
  </r>
  <r>
    <m/>
    <x v="5"/>
    <x v="1"/>
    <x v="39"/>
    <s v="Átoktatás átvétel, támogatás felosztása általános munkaszámról intézetekre / tanszékekre"/>
    <x v="3"/>
    <x v="4"/>
    <s v="T Átoktatásra támogatás ÁTVÉTEL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s v="37. b)"/>
    <x v="52"/>
    <x v="1"/>
    <x v="40"/>
    <s v="GTK felfutás hatás - 2023. tavaszán és őszén felvételre kerülő hallgatók becslésének 80%-a"/>
    <x v="1"/>
    <x v="1"/>
    <s v="Működési költségvetés támogatása - Képzés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</r>
  <r>
    <n v="38"/>
    <x v="53"/>
    <x v="1"/>
    <x v="41"/>
    <s v="Béremelés 2021-2022 még itt nem lévő része"/>
    <x v="1"/>
    <x v="60"/>
    <s v="Működési költségvetés támogatása - Céltámogatás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</r>
  <r>
    <n v="39"/>
    <x v="54"/>
    <x v="1"/>
    <x v="0"/>
    <s v="Stipendium Hungaricum költségtérítés célszervezetre (átoktatás után) - 2022 évi tény 85%-a"/>
    <x v="1"/>
    <x v="0"/>
    <s v="ÖSSZEGZŐ SOR"/>
    <n v="3179247"/>
    <n v="3179246.6089158901"/>
    <n v="0.39108410989865661"/>
    <n v="3179246.6089158901"/>
    <m/>
    <n v="231218"/>
    <n v="0"/>
    <n v="0"/>
    <n v="520240.34274986299"/>
    <n v="693653.79033315065"/>
    <n v="0"/>
    <n v="0"/>
    <n v="1560721.028249589"/>
    <n v="0"/>
    <n v="173413.44758328766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</r>
  <r>
    <m/>
    <x v="55"/>
    <x v="1"/>
    <x v="42"/>
    <s v="Stipendium Hungaricum képzési támogatás átvétele stipendium munkaszámról / tervezése képzési munkaszámokra"/>
    <x v="2"/>
    <x v="83"/>
    <s v="Működési költségvetés támogatása - Stipendium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</r>
  <r>
    <m/>
    <x v="56"/>
    <x v="1"/>
    <x v="42"/>
    <s v="Átoktatás átadás, Stipendium Hungaricum"/>
    <x v="2"/>
    <x v="2"/>
    <s v="T Átoktatásra támogatás ÁTADÁ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</r>
  <r>
    <m/>
    <x v="57"/>
    <x v="1"/>
    <x v="0"/>
    <s v="Átoktatással csökkentett Stipendium Hungaricum képzési támogatás áthozatala képzési munkaszámokról intézetekre / tanszékekre, általános munkaszámra, hivatalokra"/>
    <x v="3"/>
    <x v="3"/>
    <s v="T Képzési finanszírozás átadás"/>
    <n v="0"/>
    <n v="0"/>
    <n v="0"/>
    <n v="0"/>
    <s v="22.b2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n v="0"/>
    <m/>
    <m/>
    <m/>
    <m/>
    <m/>
    <m/>
    <m/>
    <m/>
    <m/>
    <m/>
    <m/>
    <m/>
    <m/>
    <m/>
    <m/>
    <m/>
  </r>
  <r>
    <m/>
    <x v="57"/>
    <x v="1"/>
    <x v="0"/>
    <s v="Stipendium Hungaricum képzési támogatás felosztása általános munkaszámról intézetekre / tanszékekre"/>
    <x v="3"/>
    <x v="3"/>
    <s v="T Képzési finanszírozás átadás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</r>
  <r>
    <m/>
    <x v="57"/>
    <x v="1"/>
    <x v="0"/>
    <s v="Stipendium Hungaricum képzési támogatás felosztása általános munkaszámról intézetekre / tanszékekre"/>
    <x v="3"/>
    <x v="3"/>
    <s v="T Képzési finanszírozás átadás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</r>
  <r>
    <m/>
    <x v="57"/>
    <x v="1"/>
    <x v="0"/>
    <s v="Stipendium Hungaricum képzési támogatás felosztása általános munkaszámról intézetekre / tanszékekre"/>
    <x v="3"/>
    <x v="3"/>
    <s v="T Képzési finanszírozás átadás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</r>
  <r>
    <m/>
    <x v="57"/>
    <x v="1"/>
    <x v="0"/>
    <s v="Stipendium Hungaricum képzési támogatás felosztása általános munkaszámról intézetekre / tanszékekre"/>
    <x v="3"/>
    <x v="3"/>
    <s v="T Képzési finanszírozás átadás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</r>
  <r>
    <m/>
    <x v="57"/>
    <x v="1"/>
    <x v="0"/>
    <s v="Stipendium Hungaricum képzési támogatás felosztása hivatalokról intézetekre / tanszékekre"/>
    <x v="3"/>
    <x v="3"/>
    <s v="T Képzési finanszírozás átadás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</r>
  <r>
    <m/>
    <x v="58"/>
    <x v="1"/>
    <x v="43"/>
    <s v="Átoktatás átvétel, Stipendium Hungaricum"/>
    <x v="3"/>
    <x v="4"/>
    <s v="T Átoktatásra támogatás ÁTVÉTEL"/>
    <n v="3179246.5390269402"/>
    <n v="3179246.5390269402"/>
    <n v="0"/>
    <n v="0"/>
    <s v="22.b3"/>
    <n v="0"/>
    <n v="0"/>
    <n v="0"/>
    <n v="520240.34274986299"/>
    <n v="693653.79033315065"/>
    <n v="0"/>
    <n v="0"/>
    <n v="1560721.028249589"/>
    <n v="0"/>
    <n v="173413.44758328766"/>
    <n v="0"/>
    <n v="0"/>
    <n v="0"/>
    <n v="0"/>
    <m/>
    <n v="231217.93011105023"/>
    <m/>
    <m/>
    <m/>
    <m/>
    <m/>
    <m/>
    <m/>
    <m/>
    <m/>
    <m/>
    <m/>
    <m/>
    <m/>
    <m/>
    <m/>
    <m/>
    <m/>
    <m/>
    <m/>
    <m/>
    <m/>
    <m/>
    <m/>
    <m/>
    <m/>
  </r>
  <r>
    <m/>
    <x v="58"/>
    <x v="1"/>
    <x v="43"/>
    <s v="Átoktatás átvétel, Stipendium Hungaricum támogatás felosztása általános munkaszámról intézetekre / tanszékekre"/>
    <x v="3"/>
    <x v="4"/>
    <s v="T Átoktatásra támogatás ÁTVÉTEL"/>
    <n v="0"/>
    <n v="6.988894977257587E-2"/>
    <n v="-6.988894977257587E-2"/>
    <n v="6.988894977257587E-2"/>
    <m/>
    <n v="231218"/>
    <n v="0"/>
    <n v="0"/>
    <n v="0"/>
    <n v="0"/>
    <n v="0"/>
    <n v="0"/>
    <n v="0"/>
    <n v="0"/>
    <n v="0"/>
    <n v="0"/>
    <n v="0"/>
    <n v="0"/>
    <n v="0"/>
    <m/>
    <n v="-231217.93011105023"/>
    <m/>
    <m/>
    <m/>
    <m/>
    <m/>
    <m/>
    <m/>
    <m/>
    <m/>
    <m/>
    <m/>
    <m/>
    <m/>
    <m/>
    <m/>
    <m/>
    <m/>
    <m/>
    <m/>
    <m/>
    <m/>
    <m/>
    <m/>
    <m/>
    <m/>
  </r>
  <r>
    <m/>
    <x v="58"/>
    <x v="1"/>
    <x v="43"/>
    <s v="Átoktatás átvétel, Stipendium Hungaricum támogatás felosztása hivatalokról intézetekre / tanszékekre"/>
    <x v="3"/>
    <x v="4"/>
    <s v="T Átoktatásra támogatás ÁTVÉTEL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</r>
  <r>
    <n v="40"/>
    <x v="59"/>
    <x v="1"/>
    <x v="44"/>
    <s v="Stipendium Hungaricum szervezési keret 2023 - 2022 évi tény 85%-a"/>
    <x v="1"/>
    <x v="83"/>
    <s v="Működési költségvetés támogatása - Stipendium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</r>
  <r>
    <m/>
    <x v="60"/>
    <x v="1"/>
    <x v="45"/>
    <s v="Energiakompenzáció"/>
    <x v="1"/>
    <x v="60"/>
    <s v="Működési költségvetés támogatása - Céltámogatás"/>
    <n v="26813048.564696051"/>
    <n v="26813048"/>
    <m/>
    <m/>
    <s v="7.a-b"/>
    <m/>
    <m/>
    <m/>
    <m/>
    <m/>
    <m/>
    <m/>
    <m/>
    <m/>
    <m/>
    <m/>
    <m/>
    <m/>
    <m/>
    <m/>
    <m/>
    <m/>
    <m/>
    <m/>
    <m/>
    <m/>
    <m/>
    <m/>
    <m/>
    <m/>
    <n v="104614"/>
    <n v="868224"/>
    <n v="25840210"/>
    <m/>
    <m/>
    <m/>
    <m/>
    <m/>
    <m/>
    <m/>
    <m/>
    <m/>
    <m/>
    <m/>
    <m/>
    <m/>
  </r>
  <r>
    <n v="41"/>
    <x v="61"/>
    <x v="1"/>
    <x v="46"/>
    <s v="Szombathelyi működésre ÁKTH elvonás nem ittlévő bevételekből -19,5 %"/>
    <x v="0"/>
    <x v="0"/>
    <s v="ÖSSZEGZŐ SOR"/>
    <n v="-5756941.860737876"/>
    <n v="-5756941.8590746224"/>
    <n v="-1.6632536426186562E-3"/>
    <n v="1.6632536426186562E-3"/>
    <m/>
    <n v="-1472592.7930555032"/>
    <n v="-229389.8339909077"/>
    <n v="-39273.91649083449"/>
    <n v="-382906.1777470425"/>
    <n v="-148349.48511038715"/>
    <n v="-482996.58173543343"/>
    <n v="-261872.06944322673"/>
    <n v="-658962.1628690341"/>
    <n v="-561241.09026711434"/>
    <n v="-314993.59425884794"/>
    <n v="-38286.117626651074"/>
    <n v="-998088.57333350438"/>
    <n v="-167185.92448425913"/>
    <n v="0"/>
    <n v="0"/>
    <n v="-803.53866187591291"/>
    <n v="0"/>
    <n v="0"/>
    <n v="0"/>
    <n v="0"/>
    <n v="0"/>
    <n v="0"/>
    <n v="0"/>
    <n v="0"/>
    <n v="0"/>
    <n v="0"/>
    <n v="0"/>
    <n v="0"/>
    <n v="0"/>
    <m/>
    <n v="5756941.860737876"/>
    <n v="0"/>
    <n v="0"/>
    <n v="0"/>
    <n v="0"/>
    <n v="0"/>
    <n v="0"/>
    <n v="0"/>
    <n v="0"/>
    <n v="0"/>
    <n v="0"/>
  </r>
  <r>
    <s v="41. a)"/>
    <x v="0"/>
    <x v="0"/>
    <x v="0"/>
    <s v="Szombathelyi működésre ÁKTH elvonás nem ittlévő bevételekből -19,5 % TÁRGYÉVI FORRÁSBÓL"/>
    <x v="1"/>
    <x v="62"/>
    <s v="T ÁKTH ÁTADÁS"/>
    <n v="-6086011.8251849664"/>
    <n v="-6086011.8235217128"/>
    <n v="-1.6632536426186562E-3"/>
    <n v="1.6632536426186562E-3"/>
    <m/>
    <n v="-1472592.7930555032"/>
    <n v="-229389.8339909077"/>
    <n v="-39273.91649083449"/>
    <n v="-445429.47099198971"/>
    <n v="-230616.97622215978"/>
    <n v="-482996.58173543343"/>
    <n v="-261872.06944322673"/>
    <n v="-774136.65042551584"/>
    <n v="-561241.09026711434"/>
    <n v="-384098.28679273697"/>
    <n v="-38286.117626651074"/>
    <n v="-998088.57333350438"/>
    <n v="-167185.92448425913"/>
    <n v="0"/>
    <n v="0"/>
    <n v="-803.53866187591291"/>
    <n v="0"/>
    <n v="0"/>
    <n v="0"/>
    <n v="0"/>
    <n v="0"/>
    <n v="0"/>
    <n v="0"/>
    <n v="0"/>
    <n v="0"/>
    <n v="0"/>
    <n v="0"/>
    <n v="0"/>
    <m/>
    <m/>
    <n v="6086011.8251849664"/>
    <m/>
    <m/>
    <m/>
    <m/>
    <m/>
    <m/>
    <m/>
    <m/>
    <m/>
    <m/>
  </r>
  <r>
    <s v="41. b)"/>
    <x v="0"/>
    <x v="0"/>
    <x v="0"/>
    <s v="Szombathelyi működésre ÁKTH elvonás nem ittlévő bevételekből -19,5 % MARADVÁNY FORRÁSBÓL"/>
    <x v="4"/>
    <x v="0"/>
    <s v="MARADVÁNY"/>
    <n v="329069.96444709058"/>
    <n v="329069.96444709058"/>
    <n v="0"/>
    <n v="0"/>
    <m/>
    <n v="0"/>
    <n v="0"/>
    <n v="0"/>
    <n v="62523.293244947206"/>
    <n v="82267.491111772644"/>
    <n v="0"/>
    <n v="0"/>
    <n v="115174.48755648169"/>
    <n v="0"/>
    <n v="69104.6925338890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n v="-329069.96444709058"/>
    <m/>
    <m/>
    <m/>
    <m/>
    <m/>
    <m/>
    <m/>
    <m/>
    <m/>
    <m/>
  </r>
  <r>
    <n v="42"/>
    <x v="62"/>
    <x v="1"/>
    <x v="47"/>
    <s v="Egyetemi kiválósági alap elvonás nem ittlévő bevételekből -0,5%"/>
    <x v="0"/>
    <x v="0"/>
    <s v="ÖSSZEGZŐ SOR"/>
    <n v="-147613.89386507374"/>
    <n v="-147613.89382242621"/>
    <n v="-4.2647530790418386E-5"/>
    <n v="4.2647530790418386E-5"/>
    <m/>
    <n v="-37758.789565525723"/>
    <n v="-5881.7906151514799"/>
    <n v="-1007.0234997649869"/>
    <n v="-9818.1071217190383"/>
    <n v="-3803.8329515483879"/>
    <n v="-12384.527736805985"/>
    <n v="-6714.6684472622237"/>
    <n v="-16896.46571459062"/>
    <n v="-14390.797186336265"/>
    <n v="-8076.758827149948"/>
    <n v="-981.69532376028394"/>
    <n v="-25592.014700859087"/>
    <n v="-4286.8185765194648"/>
    <n v="0"/>
    <n v="0"/>
    <n v="-20.603555432715716"/>
    <n v="0"/>
    <n v="0"/>
    <n v="0"/>
    <n v="0"/>
    <n v="0"/>
    <n v="0"/>
    <n v="0"/>
    <n v="0"/>
    <n v="0"/>
    <n v="0"/>
    <n v="0"/>
    <n v="0"/>
    <n v="0"/>
    <m/>
    <n v="0"/>
    <n v="0"/>
    <n v="0"/>
    <n v="147613.89386507374"/>
    <n v="0"/>
    <n v="0"/>
    <n v="0"/>
    <n v="0"/>
    <n v="0"/>
    <n v="0"/>
    <n v="0"/>
  </r>
  <r>
    <s v="42. a)"/>
    <x v="0"/>
    <x v="0"/>
    <x v="0"/>
    <s v="Egyetemi kiválósági alap elvonás nem ittlévő bevételekből -0,5% TÁRGYÉVI FORRÁSBÓL"/>
    <x v="1"/>
    <x v="64"/>
    <s v="T Kiválósági Alap"/>
    <n v="-156051.585261153"/>
    <n v="-156051.58521850547"/>
    <n v="-4.2647530790418386E-5"/>
    <n v="4.2647530790418386E-5"/>
    <m/>
    <n v="-37758.789565525723"/>
    <n v="-5881.7906151514799"/>
    <n v="-1007.0234997649869"/>
    <n v="-11421.268486974095"/>
    <n v="-5913.2558005681994"/>
    <n v="-12384.527736805985"/>
    <n v="-6714.6684472622237"/>
    <n v="-19849.657703218356"/>
    <n v="-14390.797186336265"/>
    <n v="-9848.674020326589"/>
    <n v="-981.69532376028394"/>
    <n v="-25592.014700859087"/>
    <n v="-4286.8185765194648"/>
    <n v="0"/>
    <n v="0"/>
    <n v="-20.603555432715716"/>
    <n v="0"/>
    <n v="0"/>
    <n v="0"/>
    <n v="0"/>
    <n v="0"/>
    <n v="0"/>
    <n v="0"/>
    <n v="0"/>
    <n v="0"/>
    <n v="0"/>
    <n v="0"/>
    <n v="0"/>
    <m/>
    <m/>
    <m/>
    <m/>
    <m/>
    <n v="156051.585261153"/>
    <m/>
    <m/>
    <m/>
    <m/>
    <m/>
    <m/>
    <m/>
  </r>
  <r>
    <s v="42. b)"/>
    <x v="0"/>
    <x v="0"/>
    <x v="0"/>
    <s v="Egyetemi kiválósági alap elvonás nem ittlévő bevételekből -0,5% MARADVÁNY FORRÁSBÓL"/>
    <x v="4"/>
    <x v="0"/>
    <s v="MARADVÁNY"/>
    <n v="8437.6913960792463"/>
    <n v="8437.6913960792444"/>
    <n v="0"/>
    <n v="0"/>
    <m/>
    <n v="0"/>
    <n v="0"/>
    <n v="0"/>
    <n v="1603.1613652550566"/>
    <n v="2109.4228490198116"/>
    <n v="0"/>
    <n v="0"/>
    <n v="2953.1919886277356"/>
    <n v="0"/>
    <n v="1771.91519317664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n v="-8437.6913960792463"/>
    <m/>
    <m/>
    <m/>
    <m/>
    <m/>
    <m/>
    <m/>
  </r>
  <r>
    <n v="43"/>
    <x v="63"/>
    <x v="1"/>
    <x v="48"/>
    <s v="Kari kiválósági elvonás még nem ittlévő bevételekből -1,5 %"/>
    <x v="0"/>
    <x v="0"/>
    <s v="ÖSSZEGZŐ SOR"/>
    <n v="-442841.68159522116"/>
    <n v="1.2794265057891607E-4"/>
    <n v="-442841.68172316381"/>
    <n v="1.2794265057891607E-4"/>
    <m/>
    <n v="-113276.36869657718"/>
    <n v="-17645.37184545444"/>
    <n v="-3021.0704992949609"/>
    <n v="-29454.32136515712"/>
    <n v="-11411.498854645162"/>
    <n v="-37153.583210417957"/>
    <n v="-20144.005341786673"/>
    <n v="-50689.397143771857"/>
    <n v="-43172.3915590088"/>
    <n v="-24230.276481449844"/>
    <n v="-2945.0859712808519"/>
    <n v="-76776.04410257726"/>
    <n v="-12860.455729558395"/>
    <n v="0"/>
    <n v="0"/>
    <n v="-61.810666298147147"/>
    <n v="0"/>
    <n v="0"/>
    <n v="442841.68159522128"/>
    <n v="0"/>
    <n v="0"/>
    <n v="0"/>
    <n v="0"/>
    <n v="0"/>
    <n v="0"/>
    <n v="0"/>
    <n v="0"/>
    <n v="0"/>
    <n v="0"/>
    <m/>
    <n v="0"/>
    <n v="0"/>
    <n v="0"/>
    <n v="0"/>
    <n v="0"/>
    <n v="0"/>
    <n v="0"/>
    <n v="0"/>
    <n v="0"/>
    <n v="0"/>
    <n v="0"/>
  </r>
  <r>
    <s v="43. a)"/>
    <x v="0"/>
    <x v="0"/>
    <x v="0"/>
    <s v="Kari kiválósági elvonás még nem ittlévő bevételekből -1,5 % TÁRGYÉVI FORRÁSBÓL"/>
    <x v="1"/>
    <x v="66"/>
    <s v="T Kari kiválósági keret"/>
    <n v="-468154.755783459"/>
    <n v="1.2794259237125516E-4"/>
    <n v="-468154.75591140159"/>
    <n v="1.2794259237125516E-4"/>
    <m/>
    <n v="-113276.36869657718"/>
    <n v="-17645.37184545444"/>
    <n v="-3021.0704992949609"/>
    <n v="-34263.805460922289"/>
    <n v="-17739.767401704597"/>
    <n v="-37153.583210417957"/>
    <n v="-20144.005341786673"/>
    <n v="-59548.973109655068"/>
    <n v="-43172.3915590088"/>
    <n v="-29546.022060979769"/>
    <n v="-2945.0859712808519"/>
    <n v="-76776.04410257726"/>
    <n v="-12860.455729558395"/>
    <n v="0"/>
    <n v="0"/>
    <n v="-61.810666298147147"/>
    <n v="0"/>
    <n v="0"/>
    <n v="468154.755783459"/>
    <n v="0"/>
    <n v="0"/>
    <n v="0"/>
    <n v="0"/>
    <n v="0"/>
    <n v="0"/>
    <n v="0"/>
    <n v="0"/>
    <n v="0"/>
    <m/>
    <m/>
    <m/>
    <m/>
    <m/>
    <m/>
    <m/>
    <m/>
    <m/>
    <m/>
    <m/>
    <m/>
    <m/>
  </r>
  <r>
    <s v="43. b)"/>
    <x v="0"/>
    <x v="0"/>
    <x v="0"/>
    <s v="Kari kiválósági elvonás még nem ittlévő bevételekből -1,5 % MARADVÁNY FORRÁSBÓL"/>
    <x v="4"/>
    <x v="0"/>
    <s v="MARADVÁNY"/>
    <n v="25313.074188237741"/>
    <n v="-3.637978807091713E-12"/>
    <n v="25313.074188237744"/>
    <n v="-3.637978807091713E-12"/>
    <m/>
    <n v="0"/>
    <n v="0"/>
    <n v="0"/>
    <n v="4809.4840957651695"/>
    <n v="6328.2685470594352"/>
    <n v="0"/>
    <n v="0"/>
    <n v="8859.5759658832067"/>
    <n v="0"/>
    <n v="5315.7455795299247"/>
    <n v="0"/>
    <n v="0"/>
    <n v="0"/>
    <n v="0"/>
    <n v="0"/>
    <n v="0"/>
    <n v="0"/>
    <n v="0"/>
    <n v="-25313.074188237741"/>
    <n v="0"/>
    <n v="0"/>
    <n v="0"/>
    <n v="0"/>
    <n v="0"/>
    <n v="0"/>
    <n v="0"/>
    <n v="0"/>
    <n v="0"/>
    <m/>
    <m/>
    <m/>
    <m/>
    <m/>
    <m/>
    <m/>
    <m/>
    <m/>
    <m/>
    <m/>
    <m/>
    <m/>
  </r>
  <r>
    <n v="44"/>
    <x v="33"/>
    <x v="1"/>
    <x v="49"/>
    <s v="Karnál kiválósági visszahagyás +1,5 %"/>
    <x v="0"/>
    <x v="0"/>
    <s v="NEM TERVEZENDŐ"/>
    <n v="442841.68159522116"/>
    <n v="0"/>
    <n v="442841.68159522116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n v="0"/>
    <n v="0"/>
    <n v="0"/>
    <n v="0"/>
    <n v="0"/>
    <n v="0"/>
    <n v="0"/>
    <n v="0"/>
    <n v="0"/>
    <n v="0"/>
    <n v="0"/>
  </r>
  <r>
    <s v="44. a)"/>
    <x v="0"/>
    <x v="0"/>
    <x v="0"/>
    <s v="Karnál kiválósági visszahagyás +1,5 % TÁRGYÉVI FORRÁSBÓL"/>
    <x v="1"/>
    <x v="67"/>
    <s v="NEM TERVEZENDŐ"/>
    <n v="468154.755783459"/>
    <n v="0"/>
    <n v="468154.75578345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44. b)"/>
    <x v="0"/>
    <x v="0"/>
    <x v="0"/>
    <s v="Karnál kiválósági visszahagyás +1,5 % MARADVÁNY FORRÁSBÓL"/>
    <x v="4"/>
    <x v="0"/>
    <s v="MARADVÁNY"/>
    <n v="-25313.074188237741"/>
    <n v="0"/>
    <n v="-25313.07418823774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64"/>
    <x v="5"/>
    <x v="50"/>
    <s v="Bevétel egyenleg III. (Bevétel egyenleg II. + nem ittlévő bevételek)"/>
    <x v="0"/>
    <x v="0"/>
    <m/>
    <n v="803092769.75948298"/>
    <n v="803092768.85594392"/>
    <n v="4.3388432065839879"/>
    <n v="1054788967.6125858"/>
    <m/>
    <n v="124153823.19958609"/>
    <n v="31987822.852929465"/>
    <n v="6978269.9556852654"/>
    <n v="41839740.071900047"/>
    <n v="16177727.759409703"/>
    <n v="40571778.442620933"/>
    <n v="18797738.748072647"/>
    <n v="49583697.819890589"/>
    <n v="59577780.47966031"/>
    <n v="50183770.763818279"/>
    <n v="29293955.680424578"/>
    <n v="67779629.217219576"/>
    <n v="27999735.193674702"/>
    <n v="12125355.938862089"/>
    <n v="0"/>
    <n v="18252393.050594326"/>
    <n v="-2983500"/>
    <n v="-15000"/>
    <n v="20886890.681595221"/>
    <n v="0"/>
    <n v="0"/>
    <n v="0"/>
    <n v="0"/>
    <n v="0"/>
    <n v="0"/>
    <n v="701969"/>
    <n v="19731182"/>
    <n v="169468004"/>
    <n v="1268176"/>
    <n v="0"/>
    <n v="194403644.63074037"/>
    <n v="42158065"/>
    <n v="95377.41"/>
    <n v="4984708.8366856501"/>
    <n v="0"/>
    <n v="0"/>
    <n v="0"/>
    <n v="0"/>
    <n v="0"/>
    <n v="0"/>
    <n v="6979623.5999999996"/>
  </r>
  <r>
    <n v="48"/>
    <x v="65"/>
    <x v="1"/>
    <x v="51"/>
    <s v="Egyéb ÁKTH (köznevelés 6%-a), pályázati rezsi"/>
    <x v="1"/>
    <x v="0"/>
    <s v="ÖSSZEGZŐ SOR"/>
    <n v="69502.264999999999"/>
    <n v="69502.265000000014"/>
    <n v="0"/>
    <n v="139004.53000000003"/>
    <m/>
    <n v="13128.205611111111"/>
    <n v="6950.2265000000007"/>
    <n v="1544.4947777777779"/>
    <n v="7722.4738888888887"/>
    <n v="3088.9895555555559"/>
    <n v="4633.4843333333329"/>
    <n v="1544.4947777777779"/>
    <n v="4633.4843333333329"/>
    <n v="6177.9791111111117"/>
    <n v="6950.2265000000007"/>
    <n v="3861.2369444444444"/>
    <n v="5405.7317222222218"/>
    <n v="3861.2369444444444"/>
    <n v="0"/>
    <n v="0"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1"/>
    <x v="0"/>
    <s v="Tervezett pályázati kiadások utáni 5% kari rezsi 70%-a"/>
    <x v="3"/>
    <x v="84"/>
    <m/>
    <n v="69502.264999999999"/>
    <n v="69502.265000000014"/>
    <n v="0"/>
    <n v="69502.265000000014"/>
    <n v="2"/>
    <n v="13128.205611111111"/>
    <n v="6950.2265000000007"/>
    <n v="1544.4947777777779"/>
    <n v="7722.4738888888887"/>
    <n v="3088.9895555555559"/>
    <n v="4633.4843333333329"/>
    <n v="1544.4947777777779"/>
    <n v="4633.4843333333329"/>
    <n v="6177.9791111111117"/>
    <n v="6950.2265000000007"/>
    <n v="3861.2369444444444"/>
    <n v="5405.7317222222218"/>
    <n v="3861.2369444444444"/>
    <n v="0"/>
    <n v="0"/>
    <m/>
    <m/>
    <m/>
    <m/>
    <m/>
    <m/>
    <m/>
    <m/>
    <m/>
    <m/>
    <m/>
    <m/>
    <m/>
    <m/>
    <m/>
    <m/>
    <m/>
    <m/>
    <m/>
    <m/>
    <m/>
    <m/>
    <m/>
    <m/>
    <m/>
    <m/>
  </r>
  <r>
    <m/>
    <x v="66"/>
    <x v="1"/>
    <x v="52"/>
    <s v="Bevételátadás belső működésre"/>
    <x v="0"/>
    <x v="0"/>
    <s v="ÖSSZEGZŐ SOR"/>
    <n v="0"/>
    <n v="-69026448"/>
    <n v="69026448"/>
    <n v="-69026448"/>
    <m/>
    <n v="-18644260.430765372"/>
    <n v="-2861454.9450941035"/>
    <n v="-612932.16501882055"/>
    <n v="-3443281.5676286072"/>
    <n v="-1329124.5325470513"/>
    <n v="-2596037.9801254706"/>
    <n v="-1783214.4601254705"/>
    <n v="-3181179.1276787957"/>
    <n v="-4757873.1827854449"/>
    <n v="-11702032.822634881"/>
    <n v="-9412133.940025093"/>
    <n v="-7067332.2305144286"/>
    <n v="-1635590.6150564619"/>
    <m/>
    <n v="0"/>
    <m/>
    <m/>
    <m/>
    <m/>
    <m/>
    <m/>
    <m/>
    <m/>
    <m/>
    <n v="0"/>
    <n v="0"/>
    <n v="0"/>
    <n v="0"/>
    <m/>
    <m/>
    <m/>
    <m/>
    <m/>
    <m/>
    <m/>
    <m/>
    <m/>
    <m/>
    <m/>
    <m/>
    <m/>
  </r>
  <r>
    <m/>
    <x v="0"/>
    <x v="0"/>
    <x v="0"/>
    <s v="Bevételátadás belső működésre, maradvány"/>
    <x v="0"/>
    <x v="0"/>
    <s v="MARADVÁNY ÖSSZEGZŐ SOR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m/>
    <m/>
    <m/>
    <m/>
  </r>
  <r>
    <m/>
    <x v="0"/>
    <x v="0"/>
    <x v="0"/>
    <s v="Belső működési átadás xy1"/>
    <x v="4"/>
    <x v="0"/>
    <s v="kitöltés esetén át kell adni bizonylattal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Belső működési átadás xy2"/>
    <x v="4"/>
    <x v="0"/>
    <s v="kitöltés esetén át kell adni bizonylattal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Belső működési átadás xy3"/>
    <x v="4"/>
    <x v="0"/>
    <s v="kitöltés esetén át kell adni bizonylattal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Belső működési átadás xy4"/>
    <x v="4"/>
    <x v="0"/>
    <s v="kitöltés esetén át kell adni bizonylattal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Belső működési átadás xy5"/>
    <x v="4"/>
    <x v="0"/>
    <s v="kitöltés esetén át kell adni bizonylattal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Bevételátadás belső működésre, idei forrás"/>
    <x v="0"/>
    <x v="0"/>
    <s v="ÖSSZEGZŐ SOR"/>
    <n v="0"/>
    <n v="0"/>
    <n v="0"/>
    <n v="0"/>
    <m/>
    <n v="-18644260.430765372"/>
    <n v="-2861454.9450941035"/>
    <n v="-612932.16501882055"/>
    <n v="-3443281.5676286072"/>
    <n v="-1329124.5325470513"/>
    <n v="-2596037.9801254706"/>
    <n v="-1783214.4601254705"/>
    <n v="-3181179.1276787957"/>
    <n v="-4757873.1827854449"/>
    <n v="-11702032.822634881"/>
    <n v="-9412133.940025093"/>
    <n v="-7067332.2305144286"/>
    <n v="-1635590.6150564619"/>
    <n v="45721323"/>
    <n v="0"/>
    <n v="0"/>
    <n v="0"/>
    <n v="0"/>
    <n v="0"/>
    <n v="23305125"/>
    <n v="0"/>
    <n v="0"/>
    <n v="0"/>
    <n v="0"/>
    <n v="0"/>
    <n v="0"/>
    <n v="0"/>
    <n v="0"/>
    <m/>
    <m/>
    <m/>
    <m/>
    <m/>
    <m/>
    <m/>
    <m/>
    <m/>
    <m/>
    <m/>
    <m/>
    <m/>
  </r>
  <r>
    <m/>
    <x v="0"/>
    <x v="0"/>
    <x v="0"/>
    <s v="Bevételátadás belső működésre, idei forrás, saját bevétel"/>
    <x v="0"/>
    <x v="0"/>
    <s v="ÖSSZEGZŐ SOR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</r>
  <r>
    <m/>
    <x v="0"/>
    <x v="0"/>
    <x v="0"/>
    <s v="Belső működési átadás xy1"/>
    <x v="3"/>
    <x v="85"/>
    <s v="SB Belső működési átadá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Belső működési átadás xy2"/>
    <x v="3"/>
    <x v="85"/>
    <s v="SB Belső működési átadá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Bevételátadás belső működésre, idei forrás, támogatás"/>
    <x v="0"/>
    <x v="0"/>
    <s v="ÖSSZEGZŐ SOR"/>
    <n v="0"/>
    <n v="0"/>
    <n v="0"/>
    <n v="0"/>
    <m/>
    <n v="-18644260.430765372"/>
    <n v="-2861454.9450941035"/>
    <n v="-612932.16501882055"/>
    <n v="-3443281.5676286072"/>
    <n v="-1329124.5325470513"/>
    <n v="-2596037.9801254706"/>
    <n v="-1783214.4601254705"/>
    <n v="-3181179.1276787957"/>
    <n v="-4757873.1827854449"/>
    <n v="-11702032.822634881"/>
    <n v="-9412133.940025093"/>
    <n v="-7067332.2305144286"/>
    <n v="-1635590.6150564619"/>
    <n v="45721323"/>
    <n v="0"/>
    <n v="0"/>
    <n v="0"/>
    <n v="0"/>
    <n v="0"/>
    <n v="23305125"/>
    <n v="0"/>
    <n v="0"/>
    <n v="0"/>
    <n v="0"/>
    <n v="0"/>
    <n v="0"/>
    <n v="0"/>
    <n v="0"/>
    <m/>
    <m/>
    <m/>
    <m/>
    <m/>
    <m/>
    <m/>
    <m/>
    <m/>
    <m/>
    <m/>
    <m/>
    <m/>
  </r>
  <r>
    <m/>
    <x v="0"/>
    <x v="0"/>
    <x v="0"/>
    <s v="Belső működési átadás_Igazgatói Hivatal"/>
    <x v="3"/>
    <x v="69"/>
    <s v="T Belső működésre átadás"/>
    <m/>
    <n v="-7.4505805969238281E-9"/>
    <m/>
    <n v="-7.4505805969238281E-9"/>
    <n v="9"/>
    <n v="-11852996.430765372"/>
    <n v="-2861454.9450941035"/>
    <n v="-612932.16501882055"/>
    <n v="-3443281.5676286072"/>
    <n v="-1329124.5325470513"/>
    <n v="-2596037.9801254706"/>
    <n v="-1783214.4601254705"/>
    <n v="-3181179.1276787957"/>
    <n v="-4757873.1827854449"/>
    <n v="-3308915.8226348814"/>
    <n v="-1291389.940025094"/>
    <n v="-7067332.2305144286"/>
    <n v="-1635590.6150564619"/>
    <n v="45721323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Belső működési átadás_Lektori munkaszám"/>
    <x v="3"/>
    <x v="69"/>
    <s v="T Belső működésre átadás_25.305.125 Ft"/>
    <m/>
    <n v="0"/>
    <m/>
    <n v="0"/>
    <n v="17"/>
    <n v="-6791264"/>
    <n v="0"/>
    <n v="0"/>
    <n v="0"/>
    <n v="0"/>
    <n v="0"/>
    <n v="0"/>
    <n v="0"/>
    <n v="0"/>
    <n v="-8393117"/>
    <n v="-8120743.9999999991"/>
    <n v="0"/>
    <n v="0"/>
    <n v="0"/>
    <n v="0"/>
    <n v="0"/>
    <n v="0"/>
    <n v="0"/>
    <m/>
    <n v="23305125"/>
    <m/>
    <m/>
    <m/>
    <m/>
    <m/>
    <m/>
    <m/>
    <m/>
    <m/>
    <m/>
    <m/>
    <m/>
    <m/>
    <m/>
    <m/>
    <m/>
    <m/>
    <m/>
    <m/>
    <m/>
    <m/>
  </r>
  <r>
    <s v="1.+2."/>
    <x v="67"/>
    <x v="6"/>
    <x v="53"/>
    <s v="Személyi kiadások (üzemeltetetés és informatika nélkül)"/>
    <x v="5"/>
    <x v="0"/>
    <s v="ÖSSZEGZŐ SOR"/>
    <n v="644907708.20547938"/>
    <n v="644907708.6400001"/>
    <n v="-0.43452072143554688"/>
    <n v="644907708.6400001"/>
    <m/>
    <n v="88510909.040000007"/>
    <n v="73220896.88000001"/>
    <n v="12399060.720000001"/>
    <n v="65674586.600000001"/>
    <n v="24902765.439999998"/>
    <n v="46058302.159999996"/>
    <n v="18973373.550000001"/>
    <n v="38674452.980000004"/>
    <n v="52907929.879999995"/>
    <n v="32586302.440000001"/>
    <n v="14389348.720000001"/>
    <n v="51080656.520000003"/>
    <n v="33567359.799999997"/>
    <n v="57846678.470000006"/>
    <n v="0"/>
    <n v="10809960"/>
    <n v="0"/>
    <n v="0"/>
    <n v="0"/>
    <n v="23305125.440000001"/>
    <n v="0"/>
    <n v="0"/>
    <n v="0"/>
    <n v="0"/>
    <n v="0"/>
    <n v="0"/>
    <n v="0"/>
    <n v="0"/>
    <m/>
    <m/>
    <m/>
    <m/>
    <m/>
    <m/>
    <m/>
    <m/>
    <m/>
    <m/>
    <m/>
    <m/>
    <m/>
  </r>
  <r>
    <m/>
    <x v="0"/>
    <x v="0"/>
    <x v="0"/>
    <s v="Személyi kiadások, maradvány"/>
    <x v="6"/>
    <x v="0"/>
    <s v="MARADVÁNY"/>
    <n v="28293906"/>
    <n v="28293906"/>
    <n v="0"/>
    <n v="28293906"/>
    <m/>
    <m/>
    <n v="933451"/>
    <n v="225694"/>
    <n v="1727721"/>
    <n v="39525"/>
    <n v="635616"/>
    <n v="1357300"/>
    <m/>
    <n v="871541"/>
    <m/>
    <m/>
    <m/>
    <n v="3944190"/>
    <n v="7748908"/>
    <m/>
    <n v="10809960"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, belső keresztfinanszírozás maradvány"/>
    <x v="6"/>
    <x v="0"/>
    <s v="MARADVÁNY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, idei forrás"/>
    <x v="7"/>
    <x v="0"/>
    <s v="idei forrás ÖSSZESEN: töltendő, ha nincs alábontá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86"/>
    <s v="Oktatók alapilletményei"/>
    <n v="445838655.1238938"/>
    <n v="445838655.1238938"/>
    <n v="0"/>
    <n v="445838655.1238938"/>
    <m/>
    <n v="72393500"/>
    <n v="55547337.168141596"/>
    <n v="10226670.796460178"/>
    <n v="53352143.362831861"/>
    <n v="21016622.123893805"/>
    <n v="34668707.96460177"/>
    <n v="14208168.557522124"/>
    <n v="30685914"/>
    <n v="38585524.778761059"/>
    <n v="27136500"/>
    <n v="10904000"/>
    <n v="39448800"/>
    <n v="22837166.371681415"/>
    <m/>
    <m/>
    <m/>
    <m/>
    <m/>
    <m/>
    <n v="14827600"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87"/>
    <s v="Kutatók alapilletménye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88"/>
    <s v="Működést támogató közalkalmazottak alapilletményei"/>
    <n v="39463930.292035401"/>
    <n v="39463930.292035401"/>
    <n v="0"/>
    <n v="39463930.292035401"/>
    <m/>
    <m/>
    <m/>
    <m/>
    <m/>
    <m/>
    <m/>
    <m/>
    <m/>
    <m/>
    <m/>
    <m/>
    <m/>
    <m/>
    <n v="39463930.292035401"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89"/>
    <s v="ALAPILLETMÉNY ÖSSZESEN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90"/>
    <s v="Illetménykiegészít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91"/>
    <s v="Nyelvpótlé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92"/>
    <s v="Egyéb kötelező illetménypótlékok"/>
    <n v="6960000"/>
    <n v="6960000"/>
    <n v="0"/>
    <n v="6960000"/>
    <m/>
    <n v="480000"/>
    <n v="480000"/>
    <m/>
    <n v="480000"/>
    <m/>
    <n v="480000"/>
    <n v="480000"/>
    <n v="480000"/>
    <n v="480000"/>
    <n v="480000"/>
    <n v="480000"/>
    <n v="480000"/>
    <n v="480000"/>
    <n v="1680000"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93"/>
    <s v="Egyéb feltételtől függő pótlékok és jut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94"/>
    <s v="Rendszeres keresetkiegészítés"/>
    <n v="2720000"/>
    <n v="2720000"/>
    <n v="0"/>
    <n v="2720000"/>
    <m/>
    <m/>
    <m/>
    <m/>
    <n v="480000"/>
    <m/>
    <n v="440000"/>
    <m/>
    <m/>
    <m/>
    <m/>
    <m/>
    <m/>
    <m/>
    <n v="1800000"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95"/>
    <s v="Eseti keresetkiegészít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96"/>
    <s v="Egyéb juttatások kiadása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97"/>
    <s v="Hallgatói munkadíja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98"/>
    <s v="Üres álláshelyekre tervezett illetmény (okt+kut+egyéb+hallg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99"/>
    <s v="Üre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00"/>
    <s v="Üre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01"/>
    <s v="TÖRVÉNY SZERINTI ILLETMÉNYE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02"/>
    <s v="Céljuttatás, projektprémium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03"/>
    <s v="Készenlét. ügyelet. helyettesítési díj, túlóra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04"/>
    <s v="Végkielégít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05"/>
    <s v="Jubileumi jutalom"/>
    <n v="19842500"/>
    <n v="19842500"/>
    <n v="0"/>
    <n v="19842500"/>
    <m/>
    <n v="2773500"/>
    <n v="6488000"/>
    <m/>
    <m/>
    <m/>
    <n v="3063000"/>
    <m/>
    <m/>
    <n v="2198000"/>
    <m/>
    <n v="1140000"/>
    <n v="2090000"/>
    <n v="2090000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06"/>
    <s v="Iskolarendsz.képzés hozzájár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07"/>
    <s v="Iskolakezdési támogatás teljesítés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08"/>
    <s v="Egyéb béren kívüli juttatás teljesítés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09"/>
    <s v="Munkábajárás útiköltsége, bérlet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10"/>
    <s v="Munkábajárás útiköltsége - saját gk. (9 Ft/km)"/>
    <n v="10876600"/>
    <n v="10876600"/>
    <n v="0"/>
    <n v="10876600"/>
    <m/>
    <n v="1164000"/>
    <n v="593600"/>
    <n v="380000"/>
    <n v="1388000"/>
    <n v="640000"/>
    <n v="800000"/>
    <n v="560000"/>
    <n v="900000"/>
    <n v="2200000"/>
    <n v="700000"/>
    <m/>
    <n v="830000"/>
    <n v="320000"/>
    <n v="401000"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11"/>
    <s v="Egyéb költségtérítések (bankköltség)"/>
    <n v="1303824"/>
    <n v="1303824"/>
    <n v="0"/>
    <n v="1303824"/>
    <m/>
    <n v="198408"/>
    <n v="113376"/>
    <n v="28344"/>
    <n v="141720"/>
    <n v="56688"/>
    <n v="85032"/>
    <n v="42516"/>
    <n v="85032"/>
    <n v="113376"/>
    <n v="56688"/>
    <n v="28344"/>
    <n v="99204"/>
    <n v="70860"/>
    <n v="127548"/>
    <m/>
    <m/>
    <m/>
    <m/>
    <m/>
    <n v="56688"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12"/>
    <s v="Lakhatási támogatás,albérleti hozzájárulás"/>
    <n v="3360000"/>
    <n v="3360000"/>
    <n v="0"/>
    <n v="3360000"/>
    <m/>
    <m/>
    <m/>
    <m/>
    <m/>
    <m/>
    <m/>
    <m/>
    <m/>
    <m/>
    <m/>
    <m/>
    <m/>
    <m/>
    <m/>
    <m/>
    <m/>
    <m/>
    <m/>
    <m/>
    <n v="3360000"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13"/>
    <s v="Szociális jellegű jut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14"/>
    <s v="Foglalkoztatottak e.szem.jutt.  (Távolléti díj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15"/>
    <s v="Saját munkavállaló oktatási megbízási díj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16"/>
    <s v="Külföldi napidíj teljesítés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17"/>
    <s v="Bérkompenzáció (teljes és részmunkaidős foglalk.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18"/>
    <s v="FOGLALKOZTATOTTAK SZEM. JUTTAT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19"/>
    <s v="Külső megbízott megbízási díj teljesítése"/>
    <n v="7661000"/>
    <n v="7661000"/>
    <n v="0"/>
    <n v="7661000"/>
    <m/>
    <m/>
    <m/>
    <m/>
    <m/>
    <m/>
    <n v="210000"/>
    <m/>
    <n v="1652000"/>
    <n v="2023000"/>
    <m/>
    <m/>
    <n v="1736000"/>
    <m/>
    <m/>
    <m/>
    <n v="0"/>
    <m/>
    <m/>
    <m/>
    <n v="2040000"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20"/>
    <s v="Külsős tiszteletdíj,szerzői díj,honoráriuma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21"/>
    <s v="Külsős belföldi napidíj teljesítés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22"/>
    <s v="Külsős külföldi napidíj teljesítés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23"/>
    <s v="MVÉGZÉSRE IR. E. JOGVISZONYBAN FIZETETT JUT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24"/>
    <s v="Felmentési bér teljesítés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25"/>
    <s v="Munkaviszonyban nem állók költségtérítés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26"/>
    <s v="Ktg.és egyéb jut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27"/>
    <s v="Ktg.és egyéb jutt./vas.gyém.rubin okl.,ö.díj kieg.,OTKA p.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28"/>
    <s v="Reprezentáció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29"/>
    <s v="EGYÉB KÜLSŐ SZEMÉLYI JUT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30"/>
    <s v="KÜLSŐ SZEMÉLYI JUT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31"/>
    <s v="SZEMÉLYI JUT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32"/>
    <s v="SZOCHÓ (13%)"/>
    <n v="68429895.224070817"/>
    <n v="68429895.224070817"/>
    <n v="0"/>
    <n v="68429895.224070817"/>
    <m/>
    <n v="9859903.040000001"/>
    <n v="8141732.7118584076"/>
    <n v="1333151.9235398232"/>
    <n v="7079002.2371681426"/>
    <n v="2739530.3161061946"/>
    <n v="5060346.1953982301"/>
    <n v="1914988.9924778761"/>
    <n v="4255906.9800000004"/>
    <n v="5615688.101238938"/>
    <n v="3597514.44"/>
    <n v="1631804.72"/>
    <n v="5678452.5200000005"/>
    <n v="3312143.4283185839"/>
    <n v="5599292.1779646026"/>
    <n v="0"/>
    <n v="0"/>
    <n v="0"/>
    <n v="0"/>
    <n v="0"/>
    <n v="2610437.44"/>
    <n v="0"/>
    <n v="0"/>
    <n v="0"/>
    <n v="0"/>
    <n v="0"/>
    <m/>
    <m/>
    <m/>
    <n v="0"/>
    <n v="0"/>
    <m/>
    <m/>
    <m/>
    <m/>
    <m/>
    <m/>
    <m/>
    <m/>
    <m/>
    <m/>
    <m/>
  </r>
  <r>
    <m/>
    <x v="0"/>
    <x v="0"/>
    <x v="0"/>
    <s v="Személyi kiadások (kari kiválósági nélkül)"/>
    <x v="7"/>
    <x v="133"/>
    <s v="15,5%-os szocho, manuálisan töltendő 2021 decemberr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34"/>
    <s v="EKHO (13%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35"/>
    <s v="Kifizetői 13 %-os SZOCHO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36"/>
    <s v="Kifizető által fizetett SZJA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37"/>
    <s v="Rehabilitációs hozzájárulás"/>
    <n v="10157400"/>
    <n v="10157400"/>
    <n v="0"/>
    <n v="10157400"/>
    <m/>
    <n v="1641600"/>
    <n v="923400"/>
    <n v="205200"/>
    <n v="1026000"/>
    <n v="410400"/>
    <n v="615600"/>
    <n v="410400"/>
    <n v="615600"/>
    <n v="820800"/>
    <n v="615600"/>
    <n v="205200"/>
    <n v="718200"/>
    <n v="513000"/>
    <n v="1026000"/>
    <n v="0"/>
    <m/>
    <m/>
    <m/>
    <m/>
    <n v="410400"/>
    <m/>
    <m/>
    <m/>
    <m/>
    <m/>
    <m/>
    <m/>
    <m/>
    <m/>
    <m/>
    <m/>
    <m/>
    <m/>
    <m/>
    <m/>
    <m/>
    <m/>
    <m/>
    <m/>
    <m/>
    <m/>
  </r>
  <r>
    <m/>
    <x v="0"/>
    <x v="0"/>
    <x v="0"/>
    <s v="Személyi kiadások (kari kiválósági nélkül)"/>
    <x v="7"/>
    <x v="138"/>
    <s v="MUNKAADÓKAT T.JÁRULÉKOK ÉS SZOCIÁLIS HOZZÁJÁRULÁSI ADÓ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5."/>
    <x v="68"/>
    <x v="0"/>
    <x v="0"/>
    <s v="Kötelezően tervezendő műszak, energia, üzemeltetés (közterületesítés nélkül)"/>
    <x v="5"/>
    <x v="0"/>
    <s v="ÖSSZEGZŐ SOR"/>
    <n v="189901159.67327917"/>
    <n v="189901159"/>
    <n v="0.67327916622161865"/>
    <n v="189901159"/>
    <m/>
    <m/>
    <m/>
    <m/>
    <m/>
    <m/>
    <m/>
    <m/>
    <m/>
    <m/>
    <m/>
    <m/>
    <m/>
    <m/>
    <m/>
    <m/>
    <m/>
    <m/>
    <m/>
    <m/>
    <m/>
    <m/>
    <m/>
    <m/>
    <m/>
    <m/>
    <n v="701969"/>
    <n v="19731182"/>
    <n v="169468008"/>
    <m/>
    <m/>
    <m/>
    <m/>
    <m/>
    <m/>
    <m/>
    <m/>
    <m/>
    <m/>
    <m/>
    <m/>
    <m/>
  </r>
  <r>
    <m/>
    <x v="68"/>
    <x v="6"/>
    <x v="54"/>
    <s v="Üzemeltetési kiadások, maradvány"/>
    <x v="6"/>
    <x v="0"/>
    <s v="U-s munkaszámokon átfordult maradvány"/>
    <n v="12687538.999999985"/>
    <n v="12687539"/>
    <n v="-1.4901161193847656E-8"/>
    <n v="12687539"/>
    <m/>
    <m/>
    <m/>
    <m/>
    <m/>
    <m/>
    <m/>
    <m/>
    <m/>
    <m/>
    <m/>
    <m/>
    <m/>
    <m/>
    <m/>
    <m/>
    <m/>
    <m/>
    <m/>
    <m/>
    <m/>
    <m/>
    <m/>
    <m/>
    <m/>
    <m/>
    <n v="-21236"/>
    <n v="1540564"/>
    <n v="11168211"/>
    <m/>
    <m/>
    <m/>
    <m/>
    <m/>
    <m/>
    <m/>
    <m/>
    <m/>
    <m/>
    <m/>
    <m/>
    <m/>
  </r>
  <r>
    <m/>
    <x v="0"/>
    <x v="0"/>
    <x v="0"/>
    <s v="Üzemeltetési kiadások, idei forrás, összesen"/>
    <x v="0"/>
    <x v="0"/>
    <s v="ÖSSZEGZŐ SOR"/>
    <n v="177213620.67327917"/>
    <n v="177213620"/>
    <n v="0.67327916622161865"/>
    <n v="177213620"/>
    <m/>
    <m/>
    <m/>
    <m/>
    <m/>
    <m/>
    <m/>
    <m/>
    <m/>
    <m/>
    <m/>
    <m/>
    <m/>
    <m/>
    <m/>
    <m/>
    <m/>
    <m/>
    <m/>
    <m/>
    <m/>
    <m/>
    <m/>
    <m/>
    <m/>
    <m/>
    <n v="723205"/>
    <n v="18190618"/>
    <n v="158299797"/>
    <m/>
    <m/>
    <m/>
    <m/>
    <m/>
    <m/>
    <m/>
    <m/>
    <m/>
    <m/>
    <m/>
    <m/>
    <m/>
  </r>
  <r>
    <m/>
    <x v="69"/>
    <x v="6"/>
    <x v="55"/>
    <s v="Üzemeltetési kiadások, idei forrás, személyi"/>
    <x v="7"/>
    <x v="0"/>
    <s v="7.sz.melléklet szerint külön tervezendő"/>
    <n v="3678651.0989999999"/>
    <n v="3678651"/>
    <n v="9.8999999929219484E-2"/>
    <n v="3678651"/>
    <m/>
    <m/>
    <m/>
    <m/>
    <m/>
    <m/>
    <m/>
    <m/>
    <m/>
    <m/>
    <m/>
    <m/>
    <m/>
    <m/>
    <m/>
    <m/>
    <m/>
    <m/>
    <m/>
    <m/>
    <m/>
    <m/>
    <m/>
    <m/>
    <m/>
    <m/>
    <n v="17863"/>
    <n v="103449"/>
    <n v="3557339"/>
    <m/>
    <m/>
    <m/>
    <m/>
    <m/>
    <m/>
    <m/>
    <m/>
    <m/>
    <m/>
    <m/>
    <m/>
    <m/>
  </r>
  <r>
    <m/>
    <x v="68"/>
    <x v="6"/>
    <x v="54"/>
    <s v="Üzemeltetési kiadások, idei forrás, dologi"/>
    <x v="7"/>
    <x v="0"/>
    <s v="7.sz.melléklet szerint külön tervezendő"/>
    <n v="173534969.57427916"/>
    <n v="173534969"/>
    <n v="0.57427915930747986"/>
    <n v="173534969"/>
    <m/>
    <m/>
    <m/>
    <m/>
    <m/>
    <m/>
    <m/>
    <m/>
    <m/>
    <m/>
    <m/>
    <m/>
    <m/>
    <m/>
    <m/>
    <m/>
    <m/>
    <m/>
    <m/>
    <m/>
    <m/>
    <m/>
    <m/>
    <m/>
    <m/>
    <m/>
    <n v="705342"/>
    <n v="18087169"/>
    <n v="154742458"/>
    <m/>
    <m/>
    <m/>
    <m/>
    <m/>
    <m/>
    <m/>
    <m/>
    <m/>
    <m/>
    <m/>
    <m/>
    <m/>
  </r>
  <r>
    <s v="7."/>
    <x v="70"/>
    <x v="0"/>
    <x v="0"/>
    <s v="Kötelezően tervezendő informatika (funkcionális része lesz 2023. évben)"/>
    <x v="5"/>
    <x v="0"/>
    <s v="ÖSSZEGZŐ SOR"/>
    <n v="0"/>
    <n v="0"/>
    <n v="0"/>
    <n v="0"/>
    <m/>
    <m/>
    <m/>
    <m/>
    <m/>
    <m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m/>
    <m/>
    <m/>
  </r>
  <r>
    <m/>
    <x v="70"/>
    <x v="6"/>
    <x v="56"/>
    <s v="Informatikai kiadások, maradvány"/>
    <x v="6"/>
    <x v="0"/>
    <s v="negatív esetén forrásátadás"/>
    <n v="0"/>
    <n v="0"/>
    <n v="0"/>
    <n v="0"/>
    <m/>
    <m/>
    <m/>
    <m/>
    <m/>
    <m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m/>
    <m/>
    <m/>
  </r>
  <r>
    <m/>
    <x v="0"/>
    <x v="0"/>
    <x v="0"/>
    <s v="Informatikai kiadások, idei forrás, összesen"/>
    <x v="0"/>
    <x v="0"/>
    <s v="ÖSSZEGZŐ SOR"/>
    <n v="0"/>
    <n v="0"/>
    <n v="0"/>
    <n v="0"/>
    <m/>
    <m/>
    <m/>
    <m/>
    <m/>
    <m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m/>
    <m/>
    <m/>
  </r>
  <r>
    <m/>
    <x v="71"/>
    <x v="6"/>
    <x v="57"/>
    <s v="Informatikai kiadások, idei forrás, személyi"/>
    <x v="7"/>
    <x v="0"/>
    <s v="12.sz.melléklet szerint külön tervezendő"/>
    <n v="0"/>
    <n v="0"/>
    <n v="0"/>
    <n v="0"/>
    <m/>
    <m/>
    <m/>
    <m/>
    <m/>
    <m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m/>
    <m/>
    <m/>
  </r>
  <r>
    <m/>
    <x v="70"/>
    <x v="6"/>
    <x v="56"/>
    <s v="Informatikai kiadások, idei forrás, dologi"/>
    <x v="7"/>
    <x v="0"/>
    <s v="12.sz.melléklet szerint külön tervezendő"/>
    <n v="0"/>
    <n v="0"/>
    <n v="0"/>
    <n v="0"/>
    <m/>
    <m/>
    <m/>
    <m/>
    <m/>
    <m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m/>
    <m/>
    <m/>
  </r>
  <r>
    <s v="8."/>
    <x v="72"/>
    <x v="6"/>
    <x v="58"/>
    <s v="Kötelezően tervezendő telefon költség (2022. évi elszámolás összege alapján)"/>
    <x v="5"/>
    <x v="0"/>
    <s v="ÖSSZEGZŐ SOR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n v="0"/>
    <n v="0"/>
    <n v="0"/>
    <m/>
    <m/>
    <m/>
    <m/>
    <m/>
    <m/>
    <m/>
    <m/>
    <m/>
    <m/>
    <m/>
    <m/>
    <m/>
    <m/>
    <m/>
    <m/>
  </r>
  <r>
    <m/>
    <x v="0"/>
    <x v="0"/>
    <x v="0"/>
    <s v="Telefonköltség, maradvány"/>
    <x v="6"/>
    <x v="0"/>
    <s v="MARADVÁNY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Telefonköltség, idei forrás"/>
    <x v="7"/>
    <x v="0"/>
    <s v="idei forrás ÖSSZESEN: töltendő, ha nincs alábontás"/>
    <m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Telefonköltség, idei forrás"/>
    <x v="7"/>
    <x v="135"/>
    <s v="Kifizetői 13 %-os SZOCHO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Telefonköltség, idei forrás"/>
    <x v="7"/>
    <x v="136"/>
    <s v="Kifizető által fizetett SZJA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Telefonköltség, idei forrás"/>
    <x v="7"/>
    <x v="139"/>
    <s v="Nem adatátviteli célú távközlési díjak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Telefonköltség, idei forrás"/>
    <x v="7"/>
    <x v="140"/>
    <s v="Egyenes adózású ÁFA befizetés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10."/>
    <x v="73"/>
    <x v="6"/>
    <x v="59"/>
    <s v="Kari oktatási-kutatási gazda K3-K5 2022. évi tény (ITTNEMEI, kari kiválósági és üzemeltetés nélkül)"/>
    <x v="5"/>
    <x v="0"/>
    <s v="ÖSSZEGZŐ SOR"/>
    <n v="17179456.581818178"/>
    <n v="17179456.640000001"/>
    <n v="-5.8181822299957275E-2"/>
    <n v="17179456.640000001"/>
    <m/>
    <n v="190499"/>
    <n v="392000.47"/>
    <n v="0"/>
    <n v="600000.07000000007"/>
    <n v="596900"/>
    <n v="229999.54"/>
    <n v="0"/>
    <n v="599999.80000000005"/>
    <n v="7710000.3600000003"/>
    <n v="457200"/>
    <n v="0"/>
    <n v="141999.97"/>
    <n v="460000.35"/>
    <n v="1195320.19"/>
    <n v="0"/>
    <n v="4605536.8900000006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</r>
  <r>
    <m/>
    <x v="0"/>
    <x v="0"/>
    <x v="0"/>
    <s v="Dologi kiadások, maradvány"/>
    <x v="6"/>
    <x v="0"/>
    <s v="MARADVÁNY"/>
    <n v="120447"/>
    <n v="120447"/>
    <n v="0"/>
    <n v="120447"/>
    <m/>
    <m/>
    <m/>
    <m/>
    <m/>
    <m/>
    <m/>
    <m/>
    <m/>
    <m/>
    <m/>
    <m/>
    <m/>
    <m/>
    <m/>
    <m/>
    <n v="120447"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, idei forrás"/>
    <x v="7"/>
    <x v="0"/>
    <s v="idei forrás ÖSSZESEN: töltendő, ha nincs alábontás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41"/>
    <s v="Gyógyszerbeszerz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42"/>
    <s v="Vegyszerbeszerz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43"/>
    <s v="Egyéb szakmai anyagbeszerzés"/>
    <n v="3135276"/>
    <n v="3135276"/>
    <n v="0"/>
    <n v="3135276"/>
    <m/>
    <n v="100000"/>
    <n v="40000"/>
    <m/>
    <m/>
    <n v="200000"/>
    <m/>
    <m/>
    <m/>
    <n v="27952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44"/>
    <s v="Könyvbeszerzés (5% ÁFA)"/>
    <n v="78740"/>
    <n v="78740"/>
    <n v="0"/>
    <n v="78740"/>
    <m/>
    <m/>
    <m/>
    <m/>
    <m/>
    <m/>
    <m/>
    <m/>
    <m/>
    <n v="787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45"/>
    <s v="Egy éven belül elhasználódó szakmai anyag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46"/>
    <s v="Irodaszer. sokszorosítási. számítástechnikai anyagok"/>
    <n v="389212"/>
    <n v="389212"/>
    <n v="0"/>
    <n v="389212"/>
    <m/>
    <m/>
    <n v="30000"/>
    <m/>
    <n v="78740"/>
    <m/>
    <m/>
    <m/>
    <n v="78740"/>
    <n v="23622"/>
    <n v="60000"/>
    <m/>
    <n v="78740"/>
    <n v="39370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47"/>
    <s v="Nyomtatvány beszerz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48"/>
    <s v="Hajtó- és kenőanyag beszerzés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49"/>
    <s v="Munka-. védő- és formaruha beszerzés"/>
    <n v="26000"/>
    <n v="26000"/>
    <n v="0"/>
    <n v="26000"/>
    <m/>
    <m/>
    <n v="6000"/>
    <m/>
    <m/>
    <n v="200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50"/>
    <s v="Karbantartási anyagok. alkatrészek.szerszámok beszerz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51"/>
    <s v="Bútorok.berend..felszer. tárgyak. textíliák beszerz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52"/>
    <s v="Tisztítószerek. tisztálkodási szerek beszerzése"/>
    <n v="65000"/>
    <n v="65000"/>
    <n v="0"/>
    <n v="65000"/>
    <m/>
    <m/>
    <n v="15000"/>
    <m/>
    <m/>
    <n v="500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53"/>
    <s v="Számítástechnikai alkatrészek.készletek beszerzése"/>
    <n v="23622"/>
    <n v="23622"/>
    <n v="0"/>
    <n v="23622"/>
    <m/>
    <m/>
    <m/>
    <m/>
    <m/>
    <m/>
    <m/>
    <m/>
    <m/>
    <n v="236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54"/>
    <s v="Egyéb készletbeszerzés"/>
    <n v="3056103"/>
    <n v="3056103"/>
    <n v="0"/>
    <n v="3056103"/>
    <m/>
    <m/>
    <n v="75000"/>
    <m/>
    <m/>
    <n v="200000"/>
    <n v="102362"/>
    <m/>
    <n v="236220"/>
    <n v="2283465"/>
    <m/>
    <m/>
    <n v="33071"/>
    <n v="125985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55"/>
    <s v="Számítástechnikai oktatási szolg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56"/>
    <s v="Inform.eszközök, szolg.bérlet,lízingelés ktg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57"/>
    <s v="Informatikai eszközök karbantartása. kisjav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58"/>
    <s v="Adatfeldolgozási szolgál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59"/>
    <s v="Adatátviteli célú távközlési díja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60"/>
    <s v="TV előfizetési díj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61"/>
    <s v="Egyéb kommunikációs szolgál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39"/>
    <s v="Nem adatátviteli célú távközlési díjak"/>
    <n v="170079"/>
    <n v="170079"/>
    <n v="0"/>
    <n v="170079"/>
    <m/>
    <m/>
    <m/>
    <m/>
    <m/>
    <m/>
    <m/>
    <m/>
    <m/>
    <m/>
    <m/>
    <m/>
    <m/>
    <m/>
    <n v="170079"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62"/>
    <s v="Nem járulékköteles távközlési díj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63"/>
    <s v="Villamosenergia szolgáltatás díja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64"/>
    <s v="Gázenergia szolgáltatás díja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65"/>
    <s v="Távhő és melegvíz szolgáltatás díja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66"/>
    <s v="Víz- és csatornadíja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67"/>
    <s v="ÁFA mentes villamosenergia szolgáltatás díja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68"/>
    <s v="Vásárolt élelmez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69"/>
    <s v="PPP szolgáltatá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70"/>
    <s v="Egyéb kül. bérleti és lízing díjak (PPP nélkül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71"/>
    <s v="Ingatlan bérleti díj költségei (Áfa mentes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72"/>
    <s v="Ingatlanok karbantartása. kisjavítása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73"/>
    <s v="Gépek berendezések karbantartása, kisjavítása ktg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74"/>
    <s v="Járművekkel kapcsolatos karbantartási, kisjav. kiad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75"/>
    <s v="AHT-n belüli közvetített szolgál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76"/>
    <s v="AHT-n kívüli közvetített szolgál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77"/>
    <s v="Vásárolt közszolgáltatások (pld. egészségügyi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78"/>
    <s v="Jogi szolgál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79"/>
    <s v="ÁFA mentes számlázott(okt.kut.)szellemi tev.kiad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80"/>
    <s v="ÁFA-s számlázott(okt.kut.)szellemi tev.kiad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81"/>
    <s v="Sport és kulturális szolgáltatá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82"/>
    <s v="Szakmai szolg. tanfolyamok, továbbképzések"/>
    <n v="491122"/>
    <n v="491122"/>
    <n v="0"/>
    <n v="491122"/>
    <m/>
    <m/>
    <n v="30000"/>
    <m/>
    <m/>
    <m/>
    <m/>
    <m/>
    <m/>
    <n v="13642"/>
    <n v="30000"/>
    <m/>
    <m/>
    <n v="157480"/>
    <n v="260000"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83"/>
    <s v="Egyéb pénzügyi szoltáltatások (bankktg.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84"/>
    <s v="Anyag- és áruszállítás költsége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85"/>
    <s v="Egyéb szállítás költsége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86"/>
    <s v="Postai levél. csomag. feladott távirat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87"/>
    <s v="Takarítá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88"/>
    <s v="Rovarirtá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89"/>
    <s v="Kommunális hulladék szállítási költsége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90"/>
    <s v="Kéményseprési díjak költsége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91"/>
    <s v="Nyomdai költség"/>
    <n v="309511"/>
    <n v="309511"/>
    <n v="0"/>
    <n v="309511"/>
    <m/>
    <m/>
    <n v="112661"/>
    <m/>
    <m/>
    <m/>
    <n v="39370"/>
    <m/>
    <m/>
    <n v="1574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92"/>
    <s v="Ingatlanok üzemelt. fenntartási kiad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93"/>
    <s v="Egyéb üzemelt. Kiadások (mosás, rakodás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94"/>
    <s v="Egyéb más jellegű szolg. Költségei (audit, ell.)"/>
    <n v="3845834.8425196852"/>
    <n v="3845834.8425196852"/>
    <n v="0"/>
    <n v="3845834.8425196852"/>
    <m/>
    <m/>
    <m/>
    <m/>
    <m/>
    <m/>
    <m/>
    <m/>
    <m/>
    <m/>
    <m/>
    <m/>
    <m/>
    <m/>
    <n v="314268"/>
    <m/>
    <n v="3531566.8425196852"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95"/>
    <s v="Biztosítási díj (központilag fizetett vagyonbiztosítás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96"/>
    <s v="Külföldi kiküldetések kiadása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97"/>
    <s v="Belföldi kiküldetések kiadásai"/>
    <n v="1717322"/>
    <n v="1717322"/>
    <n v="0"/>
    <n v="1717322"/>
    <m/>
    <n v="50000"/>
    <m/>
    <m/>
    <n v="393701"/>
    <m/>
    <m/>
    <m/>
    <n v="157480"/>
    <n v="629921"/>
    <n v="250000"/>
    <m/>
    <m/>
    <n v="39370"/>
    <n v="196850"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98"/>
    <s v="Reklám- és propaganda költségei"/>
    <n v="138110"/>
    <n v="138110"/>
    <n v="0"/>
    <n v="138110"/>
    <m/>
    <m/>
    <m/>
    <m/>
    <m/>
    <m/>
    <n v="39370"/>
    <m/>
    <m/>
    <n v="78740"/>
    <n v="200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199"/>
    <s v="Nem levonható egyenes adós ÁFA anyag, szolg."/>
    <n v="3613078.7974803154"/>
    <n v="3613078.7974803154"/>
    <n v="0"/>
    <n v="3613078.7974803154"/>
    <m/>
    <n v="40500"/>
    <n v="83339.47"/>
    <n v="0"/>
    <n v="127559.07"/>
    <n v="126900.00000000001"/>
    <n v="48897.54"/>
    <n v="0"/>
    <n v="127559.8"/>
    <n v="1625492.36"/>
    <n v="97200"/>
    <n v="0"/>
    <n v="30188.97"/>
    <n v="97795.35"/>
    <n v="254123.19"/>
    <n v="0"/>
    <n v="953523.04748031509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</r>
  <r>
    <m/>
    <x v="0"/>
    <x v="0"/>
    <x v="0"/>
    <s v="Dologi kiadások"/>
    <x v="7"/>
    <x v="140"/>
    <s v="Egyenes adózású ÁFA befizet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200"/>
    <s v="Külf.pénzért.szóló köt.p.ügy.real.árfoly.veszt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201"/>
    <s v="H. adók.e. vám, illeték és adójell. befiz. ráf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202"/>
    <s v="Díjak, egyéb befiz., ráford. tagsági díjak kiad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203"/>
    <s v="Turizmusfejlesztési hozzájárulás (4%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204"/>
    <s v="Különféle egyéb dologi kiad. miatti egyéb ráfordí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205"/>
    <s v="Kollégiumok FK keret fel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206"/>
    <s v="Szakmai gyakorlat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207"/>
    <s v="Épületek felújítása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Dologi kiadások"/>
    <x v="7"/>
    <x v="208"/>
    <s v="Nem levonható egyenes adós ÁFA felújítá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11."/>
    <x v="0"/>
    <x v="0"/>
    <x v="0"/>
    <s v="Szakmai gyakorlatok és terepgyakorlatok (2021. évi igény alapján)"/>
    <x v="5"/>
    <x v="0"/>
    <s v="ÖSSZEGZŐ SOR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</r>
  <r>
    <m/>
    <x v="0"/>
    <x v="0"/>
    <x v="0"/>
    <s v="Szakmai gyakorlatok és terepgyakorlatok kiadásai, maradvány, összesen"/>
    <x v="0"/>
    <x v="0"/>
    <s v="ÖSSZEGZŐ SOR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</r>
  <r>
    <m/>
    <x v="67"/>
    <x v="6"/>
    <x v="53"/>
    <s v="Szakmai gyakorlatok és terepgyakorlatok kiadásai, maradvány, személyi"/>
    <x v="6"/>
    <x v="0"/>
    <s v="MARADVÁNY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3"/>
    <x v="6"/>
    <x v="59"/>
    <s v="Szakmai gyakorlatok és terepgyakorlatok kiadásai, maradvány, dologi"/>
    <x v="6"/>
    <x v="0"/>
    <s v="MARADVÁNY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akmai gyakorlatok és terepgyakorlatok kiadásai, idei forrás, összesen"/>
    <x v="0"/>
    <x v="0"/>
    <s v="ÖSSZEGZŐ SOR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</r>
  <r>
    <m/>
    <x v="67"/>
    <x v="6"/>
    <x v="53"/>
    <s v="Szakmai gyakorlatok és terepgyakorlatok kiadásai, idei forrás, személyi"/>
    <x v="7"/>
    <x v="0"/>
    <s v="űrlapsor szerinti bontás külön tervezendő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3"/>
    <x v="6"/>
    <x v="59"/>
    <s v="Szakmai gyakorlatok és terepgyakorlatok kiadásai, idei forrás, dologi"/>
    <x v="7"/>
    <x v="0"/>
    <s v="űrlapsor szerinti bontás külön tervezendő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</r>
  <r>
    <s v="12."/>
    <x v="74"/>
    <x v="6"/>
    <x v="0"/>
    <n v="0"/>
    <x v="5"/>
    <x v="0"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13."/>
    <x v="0"/>
    <x v="0"/>
    <x v="0"/>
    <s v="Karnál kiválósági (2022. évi költhető maradvánnyal együtt)"/>
    <x v="5"/>
    <x v="0"/>
    <s v="ÖSSZEGZŐ SOR"/>
    <n v="20886890.51005695"/>
    <n v="20886890.449999999"/>
    <n v="6.0056950896978378E-2"/>
    <n v="20886890.449999999"/>
    <m/>
    <n v="0"/>
    <m/>
    <m/>
    <m/>
    <m/>
    <m/>
    <m/>
    <m/>
    <m/>
    <m/>
    <m/>
    <m/>
    <m/>
    <m/>
    <m/>
    <m/>
    <m/>
    <m/>
    <n v="20886890.449999999"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kiadások, maradvány"/>
    <x v="6"/>
    <x v="0"/>
    <s v="MARADVÁNY"/>
    <n v="5990044"/>
    <n v="5990044"/>
    <n v="0"/>
    <n v="5990044"/>
    <m/>
    <m/>
    <m/>
    <m/>
    <m/>
    <m/>
    <m/>
    <m/>
    <m/>
    <m/>
    <m/>
    <m/>
    <m/>
    <m/>
    <m/>
    <m/>
    <m/>
    <m/>
    <m/>
    <n v="5990044"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, maradvány"/>
    <x v="0"/>
    <x v="0"/>
    <m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6"/>
    <x v="6"/>
    <x v="61"/>
    <s v="Kari kiválósági dologi kiadások, maradvány"/>
    <x v="0"/>
    <x v="0"/>
    <m/>
    <m/>
    <n v="0"/>
    <n v="0"/>
    <n v="0"/>
    <m/>
    <m/>
    <m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kiadások, idei forrás összesen"/>
    <x v="7"/>
    <x v="0"/>
    <s v="ÖSSZEGZŐ SOR"/>
    <n v="14896846.449999999"/>
    <n v="14896846.449999999"/>
    <n v="0"/>
    <n v="14896846.449999999"/>
    <m/>
    <m/>
    <m/>
    <m/>
    <m/>
    <m/>
    <m/>
    <m/>
    <m/>
    <m/>
    <m/>
    <m/>
    <m/>
    <m/>
    <m/>
    <m/>
    <m/>
    <m/>
    <m/>
    <n v="14896846.449999999"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, idei forrás"/>
    <x v="0"/>
    <x v="0"/>
    <s v="idei forrás ÖSSZESEN: töltendő, ha nincs alábontás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86"/>
    <s v="Oktatók alapilletménye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87"/>
    <s v="Kutatók alapilletménye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88"/>
    <s v="Működést támogató közalkalmazottak alapilletménye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89"/>
    <s v="ALAPILLETMÉNY ÖSSZESEN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90"/>
    <s v="Illetménykiegészít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91"/>
    <s v="Nyelvpótlé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92"/>
    <s v="Egyéb kötelező illetménypótlék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93"/>
    <s v="Egyéb feltételtől függő pótlékok és jut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94"/>
    <s v="Rendszeres keresetkiegészít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95"/>
    <s v="Eseti keresetkiegészít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96"/>
    <s v="Egyéb juttatások kiadása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97"/>
    <s v="Hallgatói munkadíja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98"/>
    <s v="Üres álláshelyekre tervezett illetmény (okt+kut+egyéb+hallg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102"/>
    <s v="Céljuttatás, projektprémium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103"/>
    <s v="Készenlét. ügyelet. helyettesítési díj, túlóra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104"/>
    <s v="Végkielégít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105"/>
    <s v="Jubileumi jutalom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106"/>
    <s v="Iskolarendsz.képzés hozzájár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107"/>
    <s v="Iskolakezdési támogatás teljesítés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108"/>
    <s v="Egyéb béren kívüli juttatás teljesítés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109"/>
    <s v="Munkábajárás útiköltsége, bérlet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110"/>
    <s v="Munkábajárás útiköltsége - saját gk. (9 Ft/km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111"/>
    <s v="Egyéb költségtérítések (bankköltség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112"/>
    <s v="Lakhatási támogatás,albérleti hozzájárulá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113"/>
    <s v="Szociális jellegű jut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114"/>
    <s v="Foglalkoztatottak e.szem.jutt.  (Távolléti díj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115"/>
    <s v="Saját munkavállaló oktatási megbízási díj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116"/>
    <s v="Külföldi napidíj teljesítés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117"/>
    <s v="Bérkompenzáció (teljes és részmunkaidős foglalk.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119"/>
    <s v="Külső megbízott megbízási díj teljesítés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120"/>
    <s v="Külsős tiszteletdíj,szerzői díj,honoráriuma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121"/>
    <s v="Külsős belföldi napidíj teljesítés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122"/>
    <s v="Külsős külföldi napidíj teljesítés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123"/>
    <s v="MVÉGZÉSRE IR. E. JOGVISZONYBAN FIZETETT JUT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124"/>
    <s v="Felmentési bér teljesítés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125"/>
    <s v="Munkaviszonyban nem állók költségtérítés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126"/>
    <s v="Ktg.és egyéb jut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127"/>
    <s v="Ktg.és egyéb jutt./vas.gyém.rubin okl.,ö.díj kieg.,OTKA p.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128"/>
    <s v="Reprezentáció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129"/>
    <s v="EGYÉB KÜLSŐ SZEMÉLYI JUT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130"/>
    <s v="KÜLSŐ SZEMÉLYI JUT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131"/>
    <s v="SZEMÉLYI JUT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132"/>
    <s v="SZOCHÓ (13%)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133"/>
    <s v="15,5%-os szocho, manuálisan töltendő 2021 decemberr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134"/>
    <s v="EKHO (13%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135"/>
    <s v="Kifizetői 13 %-os SZOCHO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136"/>
    <s v="Kifizető által fizetett SZJA"/>
    <n v="0"/>
    <n v="0"/>
    <n v="0"/>
    <n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137"/>
    <s v="Rehabilitációs hozzájárulá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5"/>
    <x v="6"/>
    <x v="60"/>
    <s v="Kari kiválósági személyi kiadások"/>
    <x v="8"/>
    <x v="138"/>
    <s v="MUNKAADÓKAT T.JÁRULÉKOK ÉS SZOCIÁLIS HOZZÁJÁRULÁSI ADÓ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6"/>
    <x v="6"/>
    <x v="61"/>
    <s v="Kari kiválósági dologi kiadások, idei forrás"/>
    <x v="8"/>
    <x v="0"/>
    <s v="idei forrás ÖSSZESEN: töltendő, ha nincs alábontás"/>
    <m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41"/>
    <s v="Gyógyszerbeszerz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42"/>
    <s v="Vegyszerbeszerz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43"/>
    <s v="Egyéb szakmai anyagbeszerzés"/>
    <n v="11729800"/>
    <n v="11729800"/>
    <n v="0"/>
    <n v="11729800"/>
    <m/>
    <m/>
    <m/>
    <m/>
    <m/>
    <m/>
    <m/>
    <m/>
    <m/>
    <m/>
    <m/>
    <m/>
    <m/>
    <m/>
    <m/>
    <m/>
    <m/>
    <m/>
    <m/>
    <n v="11729800"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44"/>
    <s v="Könyvbeszerzés (5% ÁFA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45"/>
    <s v="Egy éven belül elhasználódó szakmai anyag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46"/>
    <s v="Irodaszer. sokszorosítási. számítástechnikai anyag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47"/>
    <s v="Nyomtatvány beszerz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48"/>
    <s v="Hajtó- és kenőanyag beszerzés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49"/>
    <s v="Munka-. védő- és formaruha beszerz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50"/>
    <s v="Karbantartási anyagok. alkatrészek.szerszámok beszerz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51"/>
    <s v="Bútorok.berend..felszer. tárgyak. textíliák beszerz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52"/>
    <s v="Tisztítószerek. tisztálkodási szerek beszerzés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53"/>
    <s v="Számítástechnikai alkatrészek.készletek beszerzés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54"/>
    <s v="Egyéb készletbeszerz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55"/>
    <s v="Számítástechnikai oktatási szolg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56"/>
    <s v="Inform.eszközök, szolg.bérlet,lízingelés ktg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57"/>
    <s v="Informatikai eszközök karbantartása. kisjav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58"/>
    <s v="Adatfeldolgozási szolgál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59"/>
    <s v="Adatátviteli célú távközlési díja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60"/>
    <s v="TV előfizetési díj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61"/>
    <s v="Egyéb kommunikációs szolgál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39"/>
    <s v="Nem adatátviteli célú távközlési díja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62"/>
    <s v="Nem járulékköteles távközlési díj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63"/>
    <s v="Villamosenergia szolgáltatás díja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64"/>
    <s v="Gázenergia szolgáltatás díja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65"/>
    <s v="Távhő és melegvíz szolgáltatás díja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66"/>
    <s v="Víz- és csatornadíja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67"/>
    <s v="ÁFA mentes villamosenergia szolgáltatás díja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68"/>
    <s v="Vásárolt élelmez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69"/>
    <s v="PPP szolgáltatá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70"/>
    <s v="Egyéb kül. bérleti és lízing díjak (PPP nélkül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71"/>
    <s v="Ingatlan bérleti díj költségei (Áfa mentes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72"/>
    <s v="Ingatlanok karbantartása. kisjavítása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73"/>
    <s v="Gépek berendezések karbantartása, kisjavítása ktg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74"/>
    <s v="Járművekkel kapcsolatos karbantartási, kisjav. kiad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75"/>
    <s v="AHT-n belüli közvetített szolgál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76"/>
    <s v="AHT-n kívüli közvetített szolgál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77"/>
    <s v="Vásárolt közszolgáltatások (pld. egészségügyi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78"/>
    <s v="Jogi szolgáltatáso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79"/>
    <s v="ÁFA mentes számlázott(okt.kut.)szellemi tev.kiad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80"/>
    <s v="ÁFA-s számlázott(okt.kut.)szellemi tev.kiad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81"/>
    <s v="Sport és kulturális szolgáltatá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82"/>
    <s v="Szakmai szolg. tanfolyamok, továbbképzések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83"/>
    <s v="Egyéb pénzügyi szoltáltatások (bankktg.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84"/>
    <s v="Anyag- és áruszállítás költsége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85"/>
    <s v="Egyéb szállítás költsége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86"/>
    <s v="Postai levél. csomag. feladott távirat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87"/>
    <s v="Takarítá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88"/>
    <s v="Rovarirtá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89"/>
    <s v="Kommunális hulladék szállítási költsége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90"/>
    <s v="Kéményseprési díjak költsége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91"/>
    <s v="Nyomdai költség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92"/>
    <s v="Ingatlanok üzemelt. fenntartási kiad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93"/>
    <s v="Egyéb üzemelt. Kiadások (mosás, rakodás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94"/>
    <s v="Egyéb más jellegű szolg. Költségei (audit, ell.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95"/>
    <s v="Biztosítási díj (központilag fizetett vagyonbiztosítás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96"/>
    <s v="Külföldi kiküldetések kiadása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97"/>
    <s v="Belföldi kiküldetések kiadása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98"/>
    <s v="Reklám- és propaganda költségei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99"/>
    <s v="Nem levonható egyenes adós ÁFA anyag, szolg."/>
    <n v="3167046"/>
    <n v="3167046"/>
    <n v="0"/>
    <n v="316704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167046"/>
    <n v="0"/>
    <n v="0"/>
    <n v="0"/>
    <n v="0"/>
    <n v="0"/>
    <n v="0"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140"/>
    <s v="Egyenes adózású ÁFA befizetés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200"/>
    <s v="Külf.pénzért.szóló köt.p.ügy.real.árfoly.veszt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201"/>
    <s v="H. adók.e. vám, illeték és adójell. befiz. ráf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202"/>
    <s v="Díjak, egyéb befiz., ráford. tagsági díjak kiad.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203"/>
    <s v="Turizmusfejlesztési hozzájárulás (4%)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204"/>
    <s v="Különféle egyéb dologi kiad. miatti egyéb ráfordítások"/>
    <n v="0.45"/>
    <n v="0.45"/>
    <n v="0"/>
    <n v="0.45"/>
    <m/>
    <m/>
    <m/>
    <m/>
    <m/>
    <m/>
    <m/>
    <m/>
    <m/>
    <m/>
    <m/>
    <m/>
    <m/>
    <m/>
    <m/>
    <m/>
    <m/>
    <m/>
    <m/>
    <n v="0.45"/>
    <m/>
    <m/>
    <m/>
    <m/>
    <m/>
    <m/>
    <m/>
    <m/>
    <m/>
    <m/>
    <m/>
    <m/>
    <m/>
    <m/>
    <m/>
    <m/>
    <m/>
    <m/>
    <m/>
    <m/>
    <m/>
    <m/>
  </r>
  <r>
    <m/>
    <x v="0"/>
    <x v="0"/>
    <x v="0"/>
    <s v="Kari kiválósági dologi kiadások"/>
    <x v="8"/>
    <x v="205"/>
    <s v="Kollégiumok FK keret fele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14."/>
    <x v="0"/>
    <x v="0"/>
    <x v="0"/>
    <s v="Kiadások célfeladatokra (átfutó)"/>
    <x v="5"/>
    <x v="0"/>
    <s v="ÖSSZEGZŐ SOR"/>
    <n v="0"/>
    <n v="0"/>
    <n v="0"/>
    <n v="0"/>
    <m/>
    <m/>
    <m/>
    <m/>
    <m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m/>
    <m/>
    <m/>
    <m/>
  </r>
  <r>
    <m/>
    <x v="0"/>
    <x v="0"/>
    <x v="0"/>
    <s v="Kiadások célfeladatokra (átfutó), maradvány, összesen"/>
    <x v="0"/>
    <x v="0"/>
    <s v="ÖSSZEGZŐ SOR"/>
    <n v="0"/>
    <n v="0"/>
    <n v="0"/>
    <n v="0"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m/>
    <m/>
    <m/>
    <m/>
    <m/>
    <m/>
    <m/>
    <m/>
    <m/>
    <m/>
    <m/>
  </r>
  <r>
    <m/>
    <x v="67"/>
    <x v="6"/>
    <x v="53"/>
    <s v="Kiadások célfeladatokra (átfutó), maradvány, személyi"/>
    <x v="6"/>
    <x v="0"/>
    <s v="MARADVÁNY"/>
    <m/>
    <n v="0"/>
    <n v="0"/>
    <n v="0"/>
    <m/>
    <m/>
    <m/>
    <m/>
    <m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m/>
    <m/>
    <m/>
    <m/>
  </r>
  <r>
    <m/>
    <x v="73"/>
    <x v="6"/>
    <x v="59"/>
    <s v="Kiadások célfeladatokra (átfutó), maradvány, dologi"/>
    <x v="6"/>
    <x v="0"/>
    <s v="MARADVÁNY"/>
    <m/>
    <n v="0"/>
    <n v="0"/>
    <n v="0"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m/>
    <m/>
    <m/>
    <m/>
    <m/>
    <m/>
    <m/>
    <m/>
    <m/>
    <m/>
    <m/>
  </r>
  <r>
    <m/>
    <x v="0"/>
    <x v="0"/>
    <x v="0"/>
    <s v="Kiadások célfeladatokra (átfutó), idei forrás, összesen"/>
    <x v="0"/>
    <x v="0"/>
    <s v="ÖSSZEGZŐ SOR"/>
    <n v="0"/>
    <n v="0"/>
    <n v="0"/>
    <n v="0"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m/>
    <m/>
    <m/>
    <m/>
    <m/>
    <m/>
    <m/>
    <m/>
    <m/>
    <m/>
    <m/>
  </r>
  <r>
    <m/>
    <x v="67"/>
    <x v="6"/>
    <x v="53"/>
    <s v="Kiadások célfeladatokra (átfutó), idei forrás, személyi"/>
    <x v="7"/>
    <x v="0"/>
    <s v="űrlapsor szerinti bontás külön tervezendő"/>
    <m/>
    <n v="0"/>
    <n v="0"/>
    <n v="0"/>
    <m/>
    <m/>
    <m/>
    <m/>
    <m/>
    <m/>
    <m/>
    <m/>
    <m/>
    <m/>
    <m/>
    <m/>
    <m/>
    <m/>
    <m/>
    <m/>
    <m/>
    <m/>
    <m/>
    <m/>
    <m/>
    <n v="0"/>
    <n v="0"/>
    <m/>
    <m/>
    <m/>
    <m/>
    <m/>
    <m/>
    <m/>
    <m/>
    <m/>
    <m/>
    <m/>
    <m/>
    <m/>
    <m/>
    <m/>
    <m/>
    <m/>
    <m/>
    <m/>
  </r>
  <r>
    <m/>
    <x v="73"/>
    <x v="6"/>
    <x v="59"/>
    <s v="Kiadások célfeladatokra (átfutó), idei forrás, dologi"/>
    <x v="7"/>
    <x v="0"/>
    <s v="űrlapsor szerinti bontás külön tervezendő"/>
    <n v="0"/>
    <n v="0"/>
    <n v="0"/>
    <n v="0"/>
    <m/>
    <m/>
    <m/>
    <m/>
    <m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m/>
    <m/>
    <m/>
    <m/>
  </r>
  <r>
    <m/>
    <x v="77"/>
    <x v="7"/>
    <x v="62"/>
    <s v="KIADÁSOK ÖSSZESEN"/>
    <x v="0"/>
    <x v="0"/>
    <m/>
    <n v="872875218.40327919"/>
    <n v="872875217.73000002"/>
    <n v="0.67327914433553815"/>
    <n v="872875217.73000002"/>
    <m/>
    <n v="88701411.040000007"/>
    <n v="73612897.350000009"/>
    <n v="12399060.720000001"/>
    <n v="66274586.670000002"/>
    <n v="25499665.439999998"/>
    <n v="46288301.699999996"/>
    <n v="18973373.550000001"/>
    <n v="39274452.780000001"/>
    <n v="60617930.239999995"/>
    <n v="33043502.440000001"/>
    <n v="14389348.720000001"/>
    <n v="51222656.490000002"/>
    <n v="34027360.149999999"/>
    <n v="59041998.660000004"/>
    <n v="0"/>
    <n v="15415496.890000001"/>
    <n v="0"/>
    <n v="0"/>
    <n v="20886890.449999999"/>
    <n v="23305125.440000001"/>
    <n v="0"/>
    <n v="0"/>
    <n v="0"/>
    <n v="0"/>
    <n v="0"/>
    <n v="701969"/>
    <n v="19731182"/>
    <n v="169468008"/>
    <n v="0"/>
    <m/>
    <n v="0"/>
    <n v="0"/>
    <n v="0"/>
    <n v="0"/>
    <n v="0"/>
    <n v="0"/>
    <n v="0"/>
    <n v="0"/>
    <n v="0"/>
    <n v="0"/>
    <n v="0"/>
  </r>
  <r>
    <m/>
    <x v="78"/>
    <x v="8"/>
    <x v="63"/>
    <s v="KORRIGÁLT EGYENLEG (KARI BELSŐ POZÍCIÓ)"/>
    <x v="0"/>
    <x v="0"/>
    <m/>
    <n v="-69712946.378796205"/>
    <n v="-69712946.6090561"/>
    <n v="3.6655640622484498"/>
    <n v="182052754.41258577"/>
    <m/>
    <n v="16821279.934431825"/>
    <n v="-44479579.215664648"/>
    <n v="-6032178.4345557773"/>
    <n v="-27870405.691839673"/>
    <n v="-10647973.223581789"/>
    <n v="-8307927.7531711999"/>
    <n v="-1957304.767275047"/>
    <n v="7132699.3965451242"/>
    <n v="-5791844.9640140189"/>
    <n v="5445185.727683397"/>
    <n v="5496334.2573439293"/>
    <n v="9495046.2284273691"/>
    <n v="-7659354.3344373135"/>
    <n v="-1195319.7211379111"/>
    <n v="0"/>
    <n v="2836896.1605943255"/>
    <n v="-2983500"/>
    <n v="-15000"/>
    <n v="0.23159522190690041"/>
    <n v="-0.44000000134110451"/>
    <n v="0"/>
    <n v="0"/>
    <n v="0"/>
    <n v="0"/>
    <n v="0"/>
    <n v="0"/>
    <n v="0"/>
    <n v="-4"/>
    <n v="1268176"/>
    <n v="0"/>
    <n v="194403644.63074037"/>
    <n v="42158065"/>
    <n v="95377.41"/>
    <n v="4984708.8366856501"/>
    <n v="0"/>
    <n v="0"/>
    <n v="0"/>
    <n v="0"/>
    <n v="0"/>
    <n v="0"/>
    <n v="6979623.5999999996"/>
  </r>
  <r>
    <m/>
    <x v="0"/>
    <x v="0"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n v="803092770"/>
    <n v="69501.514784932137"/>
    <n v="69782445"/>
    <n v="69498.621203795075"/>
    <n v="-6.3329935073852539E-8"/>
    <m/>
    <m/>
    <m/>
    <m/>
    <m/>
    <m/>
    <m/>
    <m/>
    <m/>
    <m/>
    <m/>
    <n v="846062166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79"/>
    <x v="9"/>
    <x v="0"/>
    <s v="2022. évi forrás összesen 2.a alapján"/>
    <x v="1"/>
    <x v="0"/>
    <s v=" "/>
    <n v="748352636.64785576"/>
    <n v="748352631.74431646"/>
    <n v="4.9035392999649048"/>
    <n v="998768306.14258575"/>
    <m/>
    <n v="120390515.13429798"/>
    <n v="31061321.81759759"/>
    <n v="6754120.8327633394"/>
    <n v="40119741.523630418"/>
    <n v="16141291.918678775"/>
    <n v="39940795.537845112"/>
    <n v="17441983.160407942"/>
    <n v="47282467.824957907"/>
    <n v="58712417.719214737"/>
    <n v="46698775.824354649"/>
    <n v="29273217.498213865"/>
    <n v="65496982.802927576"/>
    <n v="24059406.404186692"/>
    <n v="4376447.9388620891"/>
    <n v="0"/>
    <n v="4485090.0505943242"/>
    <n v="3925000"/>
    <n v="0"/>
    <n v="14979439.755783459"/>
    <n v="0"/>
    <n v="0"/>
    <n v="0"/>
    <n v="0"/>
    <n v="0"/>
    <n v="0"/>
    <n v="723205"/>
    <n v="18190618"/>
    <n v="158299793"/>
    <n v="1268176"/>
    <m/>
    <n v="194732714.59518746"/>
    <n v="42158065"/>
    <n v="95377.41"/>
    <n v="4993146.5280817291"/>
    <n v="0"/>
    <n v="0"/>
    <n v="0"/>
    <n v="0"/>
    <n v="0"/>
    <n v="0"/>
    <n v="6979623.5999999996"/>
  </r>
  <r>
    <m/>
    <x v="80"/>
    <x v="9"/>
    <x v="64"/>
    <s v="Tervezett 2022. évi forrás összesen"/>
    <x v="9"/>
    <x v="0"/>
    <m/>
    <n v="748352636.13815761"/>
    <n v="748352631.74431646"/>
    <n v="4.3938411474227905"/>
    <n v="1192686539.0350528"/>
    <m/>
    <n v="101746254.70353256"/>
    <n v="28199866.872503512"/>
    <n v="6141188.6677445183"/>
    <n v="36676459.956001803"/>
    <n v="14812167.38613173"/>
    <n v="37344757.557719648"/>
    <n v="15658768.700282473"/>
    <n v="44101288.697279125"/>
    <n v="53954544.536429316"/>
    <n v="34996743.001719773"/>
    <n v="19861083.55818877"/>
    <n v="58429650.572413109"/>
    <n v="22423815.789130237"/>
    <n v="50097770.938862085"/>
    <n v="0"/>
    <n v="4485090.0505943242"/>
    <n v="3925000"/>
    <n v="0"/>
    <n v="14979439.755783459"/>
    <n v="23305125"/>
    <n v="0"/>
    <n v="0"/>
    <n v="0"/>
    <n v="0"/>
    <n v="0"/>
    <n v="723205"/>
    <n v="18190618"/>
    <n v="158299793"/>
    <n v="1268176"/>
    <m/>
    <n v="194732714.59518746"/>
    <n v="42158065"/>
    <n v="95377.41"/>
    <n v="4993146.5280817291"/>
    <n v="0"/>
    <n v="0"/>
    <n v="0"/>
    <n v="0"/>
    <n v="0"/>
    <n v="0"/>
    <n v="6979623.5999999996"/>
  </r>
  <r>
    <m/>
    <x v="0"/>
    <x v="0"/>
    <x v="0"/>
    <s v="ebből: 2022 évi támogatás"/>
    <x v="0"/>
    <x v="0"/>
    <m/>
    <m/>
    <n v="679267142.51314068"/>
    <n v="-679267142.51314068"/>
    <n v="1105471186.2851679"/>
    <m/>
    <n v="90541766.742950156"/>
    <n v="26301770.82085827"/>
    <n v="5507454.576204014"/>
    <n v="34848993.545580998"/>
    <n v="12215213.536546387"/>
    <n v="34825485.821477622"/>
    <n v="14428207.376758106"/>
    <n v="33584602.363774195"/>
    <n v="51211923.672145329"/>
    <n v="32580491.397912238"/>
    <n v="18939636.322003782"/>
    <n v="52903503.277657345"/>
    <n v="21485367.609032284"/>
    <n v="50097770.938862085"/>
    <n v="0"/>
    <n v="-1191941.2444056775"/>
    <n v="0"/>
    <n v="0"/>
    <n v="468154.755783459"/>
    <n v="23305125"/>
    <n v="0"/>
    <n v="0"/>
    <n v="0"/>
    <n v="0"/>
    <n v="0"/>
    <n v="723205"/>
    <n v="18190618"/>
    <n v="158299793"/>
    <n v="1268176"/>
    <m/>
    <n v="181176065.19594598"/>
    <n v="42158065"/>
    <n v="95377.41"/>
    <n v="4645540.1332293842"/>
    <n v="0"/>
    <n v="0"/>
    <n v="0"/>
    <n v="0"/>
    <n v="0"/>
    <n v="0"/>
    <n v="6979623.5999999996"/>
  </r>
  <r>
    <m/>
    <x v="0"/>
    <x v="0"/>
    <x v="0"/>
    <s v="ebből: 2022 évi saját bevétel"/>
    <x v="0"/>
    <x v="0"/>
    <m/>
    <m/>
    <n v="69085489.23117587"/>
    <n v="-69085489.23117587"/>
    <n v="87215352.74988471"/>
    <m/>
    <n v="11204487.960582385"/>
    <n v="1898096.0516452368"/>
    <n v="633734.09154050401"/>
    <n v="1827466.410420811"/>
    <n v="2596953.8495853399"/>
    <n v="2519271.7362420214"/>
    <n v="1230561.3235243643"/>
    <n v="10516686.333504913"/>
    <n v="2742620.8642840032"/>
    <n v="2416251.6038075285"/>
    <n v="921447.2361849884"/>
    <n v="5526147.2947557997"/>
    <n v="938448.18009795155"/>
    <n v="0"/>
    <n v="0"/>
    <n v="5677031.2950000009"/>
    <n v="3925000"/>
    <n v="0"/>
    <n v="14511285"/>
    <n v="0"/>
    <n v="0"/>
    <n v="0"/>
    <n v="0"/>
    <n v="0"/>
    <n v="0"/>
    <n v="0"/>
    <n v="0"/>
    <n v="0"/>
    <n v="0"/>
    <m/>
    <n v="13556649.399241464"/>
    <n v="0"/>
    <n v="0"/>
    <n v="347606.39485234523"/>
    <n v="0"/>
    <n v="0"/>
    <n v="0"/>
    <n v="0"/>
    <n v="0"/>
    <n v="0"/>
    <n v="0"/>
  </r>
  <r>
    <m/>
    <x v="81"/>
    <x v="9"/>
    <x v="65"/>
    <s v="Maradvány forrás összesen"/>
    <x v="4"/>
    <x v="0"/>
    <s v=" "/>
    <n v="54809635.376627319"/>
    <n v="54809635.376627319"/>
    <n v="0"/>
    <n v="56159666"/>
    <m/>
    <n v="3776436.2708992055"/>
    <n v="933451.26183186949"/>
    <n v="225693.61769970725"/>
    <n v="1727721.0221585112"/>
    <n v="39524.830286491058"/>
    <n v="635616.38910915935"/>
    <n v="1357300.0824424927"/>
    <n v="2305863.4792659977"/>
    <n v="871540.73955667089"/>
    <n v="3491945.1659636134"/>
    <n v="24599.4191551652"/>
    <n v="2288052.1460142201"/>
    <n v="3944190.0264324551"/>
    <n v="7748908"/>
    <n v="0"/>
    <n v="13767303"/>
    <n v="-6908500"/>
    <n v="-15000"/>
    <n v="5907450.925811762"/>
    <n v="0"/>
    <n v="0"/>
    <n v="0"/>
    <n v="0"/>
    <n v="0"/>
    <n v="0"/>
    <n v="-21236"/>
    <n v="1540564"/>
    <n v="11168211"/>
    <n v="0"/>
    <m/>
    <n v="-329069.96444709058"/>
    <n v="0"/>
    <n v="0"/>
    <n v="-8437.6913960792463"/>
    <n v="0"/>
    <n v="0"/>
    <n v="0"/>
    <n v="0"/>
    <n v="0"/>
    <n v="0"/>
    <n v="0"/>
  </r>
  <r>
    <m/>
    <x v="82"/>
    <x v="9"/>
    <x v="66"/>
    <s v="Tervezett 2022. évi forrás + maradvány összesen"/>
    <x v="0"/>
    <x v="0"/>
    <m/>
    <n v="803162271.51478493"/>
    <n v="803162267.12094378"/>
    <n v="4.3938411474227905"/>
    <n v="1248846205.0350528"/>
    <m/>
    <n v="105522690.97443177"/>
    <n v="29133318.13433538"/>
    <n v="6366882.2854442252"/>
    <n v="38404180.978160314"/>
    <n v="14851692.216418222"/>
    <n v="37980373.946828805"/>
    <n v="17016068.782724965"/>
    <n v="46407152.176545121"/>
    <n v="54826085.275985986"/>
    <n v="38488688.167683385"/>
    <n v="19885682.977343936"/>
    <n v="60717702.71842733"/>
    <n v="26368005.815562692"/>
    <n v="57846678.938862085"/>
    <n v="0"/>
    <n v="18252393.050594322"/>
    <n v="-2983500"/>
    <n v="-15000"/>
    <n v="20886890.681595221"/>
    <n v="23305125"/>
    <n v="0"/>
    <n v="0"/>
    <n v="0"/>
    <n v="0"/>
    <n v="0"/>
    <n v="701969"/>
    <n v="19731182"/>
    <n v="169468004"/>
    <n v="1268176"/>
    <m/>
    <n v="194403644.63074037"/>
    <n v="42158065"/>
    <n v="95377.41"/>
    <n v="4984708.8366856501"/>
    <n v="0"/>
    <n v="0"/>
    <n v="0"/>
    <n v="0"/>
    <n v="0"/>
    <n v="0"/>
    <n v="6979623.5999999996"/>
  </r>
  <r>
    <m/>
    <x v="83"/>
    <x v="9"/>
    <x v="0"/>
    <s v="Kiadás 2.a) összesen"/>
    <x v="5"/>
    <x v="0"/>
    <s v=" "/>
    <n v="872875214.97063375"/>
    <n v="872875214.73000014"/>
    <n v="0.24063357338309288"/>
    <n v="872875214.73000014"/>
    <m/>
    <n v="88701408.040000007"/>
    <n v="73612897.350000009"/>
    <n v="12399060.720000001"/>
    <n v="66274586.670000002"/>
    <n v="25499665.439999998"/>
    <n v="46288301.699999996"/>
    <n v="18973373.550000001"/>
    <n v="39274452.780000001"/>
    <n v="60617930.239999995"/>
    <n v="33043502.440000001"/>
    <n v="14389348.720000001"/>
    <n v="51222656.490000002"/>
    <n v="34027360.149999999"/>
    <n v="59041998.660000004"/>
    <n v="0"/>
    <n v="15415496.890000001"/>
    <n v="0"/>
    <n v="0"/>
    <n v="20886890.449999999"/>
    <n v="23305125.440000001"/>
    <n v="0"/>
    <n v="0"/>
    <n v="0"/>
    <n v="0"/>
    <n v="0"/>
    <n v="701969"/>
    <n v="19731182"/>
    <n v="169468008"/>
    <n v="0"/>
    <m/>
    <n v="0"/>
    <n v="0"/>
    <n v="0"/>
    <n v="0"/>
    <n v="0"/>
    <n v="0"/>
    <n v="0"/>
    <n v="0"/>
    <n v="0"/>
    <n v="0"/>
    <n v="0"/>
  </r>
  <r>
    <m/>
    <x v="84"/>
    <x v="9"/>
    <x v="67"/>
    <s v="Tervezett kiadás 2022. évi forrásból összesen"/>
    <x v="7"/>
    <x v="0"/>
    <s v=" "/>
    <n v="825783282.40327919"/>
    <n v="825783281.73000002"/>
    <n v="0.67327915923669934"/>
    <n v="825783281.73000002"/>
    <m/>
    <n v="88701411.040000007"/>
    <n v="72679446.350000009"/>
    <n v="12173366.720000001"/>
    <n v="64546865.670000002"/>
    <n v="25460140.439999998"/>
    <n v="45652685.699999996"/>
    <n v="17616073.550000001"/>
    <n v="39274452.780000001"/>
    <n v="59746389.239999995"/>
    <n v="33043502.440000001"/>
    <n v="14389348.720000001"/>
    <n v="51222656.490000002"/>
    <n v="30083170.149999999"/>
    <n v="51293090.660000004"/>
    <n v="0"/>
    <n v="4485089.8900000006"/>
    <n v="0"/>
    <n v="0"/>
    <n v="14896846.449999999"/>
    <n v="23305125.440000001"/>
    <n v="0"/>
    <n v="0"/>
    <n v="0"/>
    <n v="0"/>
    <n v="0"/>
    <n v="723205"/>
    <n v="18190618"/>
    <n v="158299797"/>
    <n v="0"/>
    <m/>
    <n v="0"/>
    <n v="0"/>
    <n v="0"/>
    <n v="0"/>
    <n v="0"/>
    <n v="0"/>
    <n v="0"/>
    <n v="0"/>
    <n v="0"/>
    <n v="0"/>
    <n v="0"/>
  </r>
  <r>
    <m/>
    <x v="85"/>
    <x v="9"/>
    <x v="68"/>
    <s v="Tervezett kiadás maradványból összesen"/>
    <x v="6"/>
    <x v="0"/>
    <s v=" "/>
    <n v="47091935.999999985"/>
    <n v="47091936"/>
    <n v="-1.4901161193847656E-8"/>
    <n v="47091936"/>
    <m/>
    <n v="0"/>
    <n v="933451"/>
    <n v="225694"/>
    <n v="1727721"/>
    <n v="39525"/>
    <n v="635616"/>
    <n v="1357300"/>
    <n v="0"/>
    <n v="871541"/>
    <n v="0"/>
    <n v="0"/>
    <n v="0"/>
    <n v="3944190"/>
    <n v="7748908"/>
    <n v="0"/>
    <n v="10930407"/>
    <n v="0"/>
    <n v="0"/>
    <n v="5990044"/>
    <n v="0"/>
    <n v="0"/>
    <n v="0"/>
    <n v="0"/>
    <n v="0"/>
    <n v="0"/>
    <n v="-21236"/>
    <n v="1540564"/>
    <n v="11168211"/>
    <n v="0"/>
    <m/>
    <n v="0"/>
    <n v="0"/>
    <n v="0"/>
    <n v="0"/>
    <n v="0"/>
    <n v="0"/>
    <n v="0"/>
    <n v="0"/>
    <n v="0"/>
    <n v="0"/>
    <n v="0"/>
  </r>
  <r>
    <m/>
    <x v="86"/>
    <x v="9"/>
    <x v="69"/>
    <s v="Tervezett kiadás mindösszesen"/>
    <x v="0"/>
    <x v="0"/>
    <s v=" "/>
    <n v="872875218.40327919"/>
    <n v="872875217.73000002"/>
    <n v="0.67327914433553815"/>
    <n v="872875217.73000002"/>
    <m/>
    <n v="88701411.040000007"/>
    <n v="73612897.350000009"/>
    <n v="12399060.720000001"/>
    <n v="66274586.670000002"/>
    <n v="25499665.439999998"/>
    <n v="46288301.699999996"/>
    <n v="18973373.550000001"/>
    <n v="39274452.780000001"/>
    <n v="60617930.239999995"/>
    <n v="33043502.440000001"/>
    <n v="14389348.720000001"/>
    <n v="51222656.490000002"/>
    <n v="34027360.149999999"/>
    <n v="59041998.660000004"/>
    <n v="0"/>
    <n v="15415496.890000001"/>
    <n v="0"/>
    <n v="0"/>
    <n v="20886890.449999999"/>
    <n v="23305125.440000001"/>
    <n v="0"/>
    <n v="0"/>
    <n v="0"/>
    <n v="0"/>
    <n v="0"/>
    <n v="701969"/>
    <n v="19731182"/>
    <n v="169468008"/>
    <n v="0"/>
    <m/>
    <n v="0"/>
    <n v="0"/>
    <n v="0"/>
    <n v="0"/>
    <n v="0"/>
    <n v="0"/>
    <n v="0"/>
    <n v="0"/>
    <n v="0"/>
    <n v="0"/>
    <n v="0"/>
  </r>
  <r>
    <m/>
    <x v="87"/>
    <x v="9"/>
    <x v="0"/>
    <s v="Keresztfinanszírozás előtti egyenleg, 2022. évi forrás"/>
    <x v="0"/>
    <x v="0"/>
    <m/>
    <n v="-77430646.265121579"/>
    <n v="-77430649.98568356"/>
    <n v="3.7205619881860912"/>
    <n v="366903257.30505276"/>
    <m/>
    <n v="13044843.663532555"/>
    <n v="-44479579.477496497"/>
    <n v="-6032178.0522554824"/>
    <n v="-27870405.713998199"/>
    <n v="-10647973.053868268"/>
    <n v="-8307928.1422803476"/>
    <n v="-1957304.8497175276"/>
    <n v="4826835.9172791243"/>
    <n v="-5791844.7035706788"/>
    <n v="1953240.5617197715"/>
    <n v="5471734.8381887693"/>
    <n v="7206994.0824131072"/>
    <n v="-7659354.3608697616"/>
    <n v="-1195319.7211379185"/>
    <n v="0"/>
    <n v="0.16059432365000248"/>
    <n v="3925000"/>
    <n v="0"/>
    <n v="82593.305783459917"/>
    <n v="-0.44000000134110451"/>
    <n v="0"/>
    <n v="0"/>
    <n v="0"/>
    <n v="0"/>
    <n v="0"/>
    <n v="0"/>
    <n v="0"/>
    <n v="-4"/>
    <n v="1268176"/>
    <m/>
    <n v="194732714.59518746"/>
    <n v="42158065"/>
    <n v="95377.41"/>
    <n v="4993146.5280817291"/>
    <n v="0"/>
    <n v="0"/>
    <n v="0"/>
    <n v="0"/>
    <n v="0"/>
    <n v="0"/>
    <n v="6979623.5999999996"/>
  </r>
  <r>
    <m/>
    <x v="88"/>
    <x v="9"/>
    <x v="0"/>
    <s v="Keresztfinanszírozás előtti egyenleg, maradvány"/>
    <x v="0"/>
    <x v="0"/>
    <m/>
    <n v="7717699.3766273335"/>
    <n v="7717699.3766273186"/>
    <n v="1.4901161193847656E-8"/>
    <n v="9067730"/>
    <m/>
    <n v="3776436.2708992055"/>
    <n v="0.26183186948765069"/>
    <n v="-0.38230029275291599"/>
    <n v="2.2158511215820909E-2"/>
    <n v="-0.16971350894164061"/>
    <n v="0.38910915935412049"/>
    <n v="8.2442492712289095E-2"/>
    <n v="2305863.4792659977"/>
    <n v="-0.26044332911260426"/>
    <n v="3491945.1659636134"/>
    <n v="24599.4191551652"/>
    <n v="2288052.1460142201"/>
    <n v="2.643245505169034E-2"/>
    <n v="0"/>
    <n v="0"/>
    <n v="2836896"/>
    <n v="-6908500"/>
    <n v="-15000"/>
    <n v="-82593.07418823801"/>
    <n v="0"/>
    <n v="0"/>
    <n v="0"/>
    <n v="0"/>
    <n v="0"/>
    <n v="0"/>
    <n v="0"/>
    <n v="0"/>
    <n v="0"/>
    <n v="0"/>
    <m/>
    <n v="-329069.96444709058"/>
    <n v="0"/>
    <n v="0"/>
    <n v="-8437.6913960792463"/>
    <n v="0"/>
    <n v="0"/>
    <n v="0"/>
    <n v="0"/>
    <n v="0"/>
    <n v="0"/>
    <n v="0"/>
  </r>
  <r>
    <m/>
    <x v="89"/>
    <x v="9"/>
    <x v="70"/>
    <s v="Keresztfinanszírozás előtti egyenleg, összesen"/>
    <x v="0"/>
    <x v="0"/>
    <s v=" "/>
    <n v="-69712946.888494253"/>
    <n v="-69712950.609056234"/>
    <n v="3.7205620030872524"/>
    <n v="375970987.30505276"/>
    <m/>
    <n v="16821279.934431762"/>
    <n v="-44479579.215664625"/>
    <n v="-6032178.4345557755"/>
    <n v="-27870405.691839688"/>
    <n v="-10647973.223581776"/>
    <n v="-8307927.7531711906"/>
    <n v="-1957304.7672750354"/>
    <n v="7132699.3965451196"/>
    <n v="-5791844.9640140086"/>
    <n v="5445185.727683384"/>
    <n v="5496334.2573439348"/>
    <n v="9495046.2284273282"/>
    <n v="-7659354.334437307"/>
    <n v="-1195319.7211379185"/>
    <n v="0"/>
    <n v="2836896.1605943218"/>
    <n v="-2983500"/>
    <n v="-15000"/>
    <n v="0.23159522190690041"/>
    <n v="-0.44000000134110451"/>
    <n v="0"/>
    <n v="0"/>
    <n v="0"/>
    <n v="0"/>
    <n v="0"/>
    <n v="0"/>
    <n v="0"/>
    <n v="-4"/>
    <n v="1268176"/>
    <m/>
    <n v="194403644.63074037"/>
    <n v="42158065"/>
    <n v="95377.41"/>
    <n v="4984708.8366856501"/>
    <n v="0"/>
    <n v="0"/>
    <n v="0"/>
    <n v="0"/>
    <n v="0"/>
    <n v="0"/>
    <n v="6979623.5999999996"/>
  </r>
  <r>
    <m/>
    <x v="0"/>
    <x v="0"/>
    <x v="0"/>
    <m/>
    <x v="0"/>
    <x v="0"/>
    <m/>
    <m/>
    <n v="69498.111505746841"/>
    <n v="-9735038"/>
    <n v="9804536.11150574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90"/>
    <x v="0"/>
    <x v="0"/>
    <s v="Belső keresztfinanszírozás szükséglet összesen"/>
    <x v="0"/>
    <x v="0"/>
    <m/>
    <n v="-0.54179841093719006"/>
    <m/>
    <m/>
    <m/>
    <n v="0"/>
    <n v="-16821279.663532555"/>
    <n v="41496079.663532555"/>
    <n v="775557"/>
    <n v="0"/>
    <n v="0"/>
    <n v="0"/>
    <n v="1957305"/>
    <n v="-7132699.3965451214"/>
    <n v="0"/>
    <n v="-5445185.7276833849"/>
    <n v="-5496334.2573439348"/>
    <n v="-9495046.2284273282"/>
    <n v="0"/>
    <n v="0"/>
    <n v="0"/>
    <n v="-2836896.1605943218"/>
    <n v="2983500"/>
    <n v="15000"/>
    <n v="0"/>
    <n v="0"/>
    <n v="0"/>
    <n v="0"/>
    <n v="0"/>
    <n v="0"/>
    <n v="0"/>
    <m/>
    <m/>
    <n v="0"/>
    <n v="0"/>
    <m/>
    <n v="0"/>
    <n v="0"/>
    <n v="0"/>
    <n v="0"/>
    <n v="0"/>
    <n v="0"/>
    <n v="0"/>
    <n v="0"/>
    <n v="0"/>
    <n v="0"/>
    <n v="0"/>
  </r>
  <r>
    <m/>
    <x v="0"/>
    <x v="0"/>
    <x v="0"/>
    <s v="Belső keresztfinanszírozás, saját bevétel"/>
    <x v="3"/>
    <x v="209"/>
    <s v="SB Belső keresztfinanszírozás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Belső keresztfinanszírozás, támogatás"/>
    <x v="3"/>
    <x v="210"/>
    <s v="T Belső keresztfinanszírozás"/>
    <n v="0"/>
    <m/>
    <m/>
    <n v="0"/>
    <m/>
    <n v="-13044843.663532555"/>
    <n v="13044843.6635325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m/>
    <m/>
    <n v="8.272087574005127E-2"/>
    <m/>
    <m/>
    <n v="4826836"/>
    <m/>
    <m/>
    <m/>
    <m/>
    <m/>
    <n v="-4826835.91727912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m/>
    <m/>
    <n v="0.43828022852540016"/>
    <m/>
    <m/>
    <n v="1953241"/>
    <m/>
    <m/>
    <m/>
    <m/>
    <m/>
    <m/>
    <m/>
    <n v="-1953240.56171977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m/>
    <m/>
    <n v="0.16181123070418835"/>
    <m/>
    <m/>
    <n v="5471735"/>
    <m/>
    <m/>
    <m/>
    <m/>
    <m/>
    <m/>
    <m/>
    <m/>
    <n v="-5471734.8381887693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m/>
    <m/>
    <n v="-8.241310715675354E-2"/>
    <m/>
    <m/>
    <n v="7206994"/>
    <m/>
    <m/>
    <m/>
    <m/>
    <m/>
    <m/>
    <m/>
    <m/>
    <m/>
    <n v="-7206994.0824131072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Belső keresztfinanszírozás, maradvány"/>
    <x v="4"/>
    <x v="0"/>
    <s v="MARADVÁNY"/>
    <n v="0"/>
    <m/>
    <m/>
    <m/>
    <m/>
    <n v="-3776436"/>
    <n v="792936"/>
    <m/>
    <m/>
    <m/>
    <m/>
    <m/>
    <m/>
    <m/>
    <m/>
    <m/>
    <m/>
    <m/>
    <m/>
    <m/>
    <m/>
    <n v="2983500"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n v="-0.95853199530392885"/>
    <m/>
    <m/>
    <n v="-0.47926599765196443"/>
    <m/>
    <m/>
    <n v="2305863"/>
    <m/>
    <m/>
    <m/>
    <m/>
    <m/>
    <n v="-2305863.47926599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n v="0"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s v="Tervezett kiadások még maradványból"/>
    <n v="-0.62395566701889038"/>
    <m/>
    <m/>
    <n v="-0.31197783350944519"/>
    <m/>
    <m/>
    <n v="5779997"/>
    <m/>
    <m/>
    <m/>
    <m/>
    <m/>
    <m/>
    <m/>
    <n v="-3491945.1659636134"/>
    <m/>
    <n v="-2288052.1460142201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n v="-0.83831033040041802"/>
    <m/>
    <m/>
    <n v="-0.41915516520020901"/>
    <m/>
    <m/>
    <n v="24599"/>
    <m/>
    <m/>
    <m/>
    <m/>
    <m/>
    <m/>
    <m/>
    <m/>
    <n v="-24599.4191551652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n v="1.6788113564252853"/>
    <m/>
    <m/>
    <n v="0.83940567821264267"/>
    <m/>
    <m/>
    <n v="89035"/>
    <n v="775557"/>
    <m/>
    <m/>
    <m/>
    <n v="1957305"/>
    <m/>
    <m/>
    <m/>
    <m/>
    <m/>
    <m/>
    <m/>
    <m/>
    <n v="-2836896.1605943218"/>
    <m/>
    <n v="15000"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n v="0"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n v="0"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ombathelyre belső keresztfinanszírozás ÁTVÉTEL, saját bevétel"/>
    <x v="3"/>
    <x v="209"/>
    <s v="SB Belső keresztfinanszírozás"/>
    <n v="-0.54179841093719006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ombathelyre belső keresztfinanszírozás ÁTVÉTEL, támogatás"/>
    <x v="3"/>
    <x v="210"/>
    <s v="T Belső keresztfinanszírozás"/>
    <n v="-0.54179841093719006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Szombathelyre belső keresztfinanszírozás ÁTVÉTEL, maradvány"/>
    <x v="4"/>
    <x v="0"/>
    <s v="MARADVÁNY"/>
    <n v="-0.54179841093719006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Belső keresztfinanszírozás átadók"/>
    <x v="0"/>
    <x v="0"/>
    <m/>
    <n v="-0.5417984109371900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n v="0"/>
    <n v="0"/>
    <m/>
    <n v="0"/>
    <n v="0"/>
    <n v="0"/>
    <n v="0"/>
    <n v="0"/>
    <n v="0"/>
    <n v="0"/>
    <n v="0"/>
    <n v="0"/>
    <n v="0"/>
    <n v="0"/>
  </r>
  <r>
    <m/>
    <x v="0"/>
    <x v="0"/>
    <x v="0"/>
    <s v="Belső keresztfinanszírozás, saját bevétel"/>
    <x v="3"/>
    <x v="209"/>
    <s v="SB Belső keresztfinanszírozás"/>
    <n v="-0.54179841093719006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n v="67"/>
    <x v="3"/>
    <x v="210"/>
    <s v="T Belső keresztfinanszírozás"/>
    <n v="-0.54179841093719006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s v="Belső keresztfinanszírozás, maradvány"/>
    <x v="4"/>
    <x v="0"/>
    <s v="MARADVÁNY"/>
    <n v="-0.54179841093719006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91"/>
    <x v="0"/>
    <x v="0"/>
    <s v="Keresztfinanszírozás utáni egyenleg"/>
    <x v="0"/>
    <x v="0"/>
    <m/>
    <n v="-69712947.430292666"/>
    <n v="-60858272.115670338"/>
    <n v="-11838175.043723121"/>
    <n v="173197021.49777567"/>
    <m/>
    <n v="0.2708992063999176"/>
    <n v="-2983499.5521320701"/>
    <n v="-5256621.4345557755"/>
    <n v="-27870405.691839688"/>
    <n v="-10647973.223581776"/>
    <n v="-8307927.7531711906"/>
    <n v="0.23272496461868286"/>
    <n v="0"/>
    <n v="-5791844.9640140086"/>
    <n v="0"/>
    <n v="0"/>
    <n v="0"/>
    <n v="-7659354.334437307"/>
    <n v="-1195319.7211379185"/>
    <n v="0"/>
    <n v="0"/>
    <n v="0"/>
    <n v="0"/>
    <n v="0.23159522190690041"/>
    <n v="-0.44000000134110451"/>
    <n v="0"/>
    <n v="0"/>
    <n v="0"/>
    <n v="0"/>
    <n v="0"/>
    <n v="0"/>
    <n v="0"/>
    <n v="-4"/>
    <n v="1268176"/>
    <m/>
    <n v="194403644.63074037"/>
    <n v="42158065"/>
    <n v="95377.41"/>
    <n v="4984708.8366856501"/>
    <n v="0"/>
    <n v="0"/>
    <n v="0"/>
    <n v="0"/>
    <n v="0"/>
    <n v="0"/>
    <n v="6979623.5999999996"/>
  </r>
  <r>
    <m/>
    <x v="0"/>
    <x v="0"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92"/>
    <x v="0"/>
    <x v="0"/>
    <s v="Pályázatok után 5% kiválósági alap átadása"/>
    <x v="0"/>
    <x v="63"/>
    <s v="SB Kiválósági Alap"/>
    <n v="992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93"/>
    <x v="0"/>
    <x v="0"/>
    <s v="Pályázatok után 5% ÁKTH átadása"/>
    <x v="0"/>
    <x v="61"/>
    <s v="SB ÁKTH ÁTADÁS"/>
    <n v="99288.9500000000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n v="6978244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n v="-69712947.430292666"/>
    <m/>
    <n v="0"/>
    <m/>
    <m/>
    <m/>
    <m/>
    <m/>
    <m/>
    <m/>
    <m/>
    <m/>
    <m/>
    <m/>
    <m/>
    <m/>
    <m/>
    <m/>
    <n v="63144.569244524282"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m/>
    <m/>
    <m/>
    <m/>
    <m/>
    <m/>
    <m/>
    <m/>
    <m/>
    <m/>
    <m/>
    <m/>
    <m/>
    <m/>
    <m/>
    <m/>
    <m/>
    <s v=","/>
    <m/>
    <m/>
    <m/>
    <m/>
    <m/>
    <m/>
    <m/>
    <m/>
    <m/>
    <m/>
    <m/>
    <m/>
    <m/>
    <m/>
    <m/>
    <m/>
    <m/>
    <m/>
    <m/>
    <m/>
    <m/>
    <m/>
    <m/>
    <m/>
    <m/>
    <m/>
    <m/>
  </r>
  <r>
    <m/>
    <x v="0"/>
    <x v="0"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Kimutatás2" cacheId="1" applyNumberFormats="0" applyBorderFormats="0" applyFontFormats="0" applyPatternFormats="0" applyAlignmentFormats="0" applyWidthHeightFormats="1" dataCaption="Értékek" updatedVersion="6" minRefreshableVersion="3" useAutoFormatting="1" itemPrintTitles="1" createdVersion="6" indent="0" compact="0" compactData="0" gridDropZones="1" multipleFieldFilters="0">
  <location ref="A5:T233" firstHeaderRow="1" firstDataRow="2" firstDataCol="2"/>
  <pivotFields count="38">
    <pivotField axis="axisRow" compact="0" outline="0" showAll="0" defaultSubtotal="0">
      <items count="212">
        <item x="68"/>
        <item x="1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6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2"/>
        <item x="8"/>
        <item x="207"/>
        <item x="78"/>
        <item x="74"/>
        <item x="76"/>
        <item x="80"/>
        <item x="72"/>
        <item x="7"/>
        <item m="1" x="210"/>
        <item x="66"/>
        <item x="64"/>
        <item x="82"/>
        <item x="208"/>
        <item x="9"/>
        <item x="2"/>
        <item x="61"/>
        <item x="81"/>
        <item x="63"/>
        <item x="4"/>
        <item x="206"/>
        <item x="71"/>
        <item x="75"/>
        <item x="77"/>
        <item m="1" x="211"/>
        <item x="73"/>
        <item x="67"/>
        <item x="65"/>
        <item x="3"/>
        <item x="70"/>
        <item x="209"/>
        <item x="69"/>
        <item x="5"/>
        <item x="79"/>
        <item x="0"/>
        <item x="203"/>
        <item x="204"/>
        <item x="205"/>
      </items>
    </pivotField>
    <pivotField axis="axisRow" compact="0" outline="0" showAll="0" defaultSubtotal="0">
      <items count="223">
        <item x="1"/>
        <item x="220"/>
        <item x="213"/>
        <item x="211"/>
        <item x="161"/>
        <item x="160"/>
        <item x="170"/>
        <item x="55"/>
        <item x="56"/>
        <item x="178"/>
        <item x="179"/>
        <item x="95"/>
        <item x="187"/>
        <item x="15"/>
        <item x="200"/>
        <item x="122"/>
        <item x="19"/>
        <item x="198"/>
        <item x="62"/>
        <item x="153"/>
        <item x="107"/>
        <item x="206"/>
        <item x="147"/>
        <item x="13"/>
        <item x="113"/>
        <item x="99"/>
        <item x="102"/>
        <item x="156"/>
        <item x="163"/>
        <item x="116"/>
        <item x="98"/>
        <item x="173"/>
        <item x="134"/>
        <item x="197"/>
        <item x="60"/>
        <item x="61"/>
        <item x="186"/>
        <item x="145"/>
        <item x="188"/>
        <item x="23"/>
        <item x="196"/>
        <item x="50"/>
        <item x="52"/>
        <item x="51"/>
        <item x="203"/>
        <item x="138"/>
        <item x="32"/>
        <item x="33"/>
        <item x="31"/>
        <item x="47"/>
        <item x="48"/>
        <item x="46"/>
        <item x="7"/>
        <item x="42"/>
        <item x="41"/>
        <item x="39"/>
        <item x="36"/>
        <item x="40"/>
        <item x="44"/>
        <item x="34"/>
        <item x="45"/>
        <item x="43"/>
        <item x="38"/>
        <item x="37"/>
        <item x="35"/>
        <item x="49"/>
        <item x="101"/>
        <item x="24"/>
        <item x="59"/>
        <item x="58"/>
        <item x="129"/>
        <item x="119"/>
        <item x="123"/>
        <item x="167"/>
        <item x="176"/>
        <item x="14"/>
        <item x="143"/>
        <item x="205"/>
        <item x="150"/>
        <item x="103"/>
        <item x="91"/>
        <item x="96"/>
        <item x="158"/>
        <item x="159"/>
        <item x="174"/>
        <item x="175"/>
        <item x="195"/>
        <item x="148"/>
        <item x="112"/>
        <item x="111"/>
        <item x="177"/>
        <item x="181"/>
        <item x="110"/>
        <item x="17"/>
        <item x="57"/>
        <item x="152"/>
        <item x="193"/>
        <item x="108"/>
        <item x="140"/>
        <item x="139"/>
        <item x="53"/>
        <item x="22"/>
        <item x="209"/>
        <item x="192"/>
        <item x="146"/>
        <item x="30"/>
        <item x="28"/>
        <item x="29"/>
        <item x="132"/>
        <item x="131"/>
        <item x="93"/>
        <item x="204"/>
        <item x="199"/>
        <item x="121"/>
        <item x="208"/>
        <item x="124"/>
        <item x="135"/>
        <item x="126"/>
        <item x="127"/>
        <item x="125"/>
        <item x="25"/>
        <item x="117"/>
        <item x="83"/>
        <item x="85"/>
        <item x="151"/>
        <item x="142"/>
        <item x="115"/>
        <item x="114"/>
        <item x="130"/>
        <item x="54"/>
        <item x="63"/>
        <item x="3"/>
        <item x="84"/>
        <item x="94"/>
        <item x="128"/>
        <item x="212"/>
        <item x="164"/>
        <item x="165"/>
        <item x="202"/>
        <item x="70"/>
        <item x="97"/>
        <item x="194"/>
        <item x="149"/>
        <item x="16"/>
        <item x="92"/>
        <item x="2"/>
        <item x="11"/>
        <item x="20"/>
        <item x="189"/>
        <item x="172"/>
        <item x="141"/>
        <item x="201"/>
        <item x="100"/>
        <item x="133"/>
        <item x="191"/>
        <item x="120"/>
        <item x="64"/>
        <item x="8"/>
        <item x="10"/>
        <item x="219"/>
        <item x="221"/>
        <item x="90"/>
        <item x="74"/>
        <item x="78"/>
        <item x="68"/>
        <item x="9"/>
        <item x="66"/>
        <item x="76"/>
        <item x="82"/>
        <item x="80"/>
        <item x="184"/>
        <item x="183"/>
        <item x="155"/>
        <item x="157"/>
        <item x="182"/>
        <item x="136"/>
        <item x="137"/>
        <item x="118"/>
        <item x="27"/>
        <item x="65"/>
        <item x="4"/>
        <item x="6"/>
        <item x="218"/>
        <item x="222"/>
        <item x="72"/>
        <item x="75"/>
        <item x="79"/>
        <item x="69"/>
        <item x="5"/>
        <item x="67"/>
        <item x="77"/>
        <item x="73"/>
        <item x="71"/>
        <item x="81"/>
        <item x="190"/>
        <item x="185"/>
        <item x="18"/>
        <item x="168"/>
        <item x="154"/>
        <item x="106"/>
        <item x="207"/>
        <item x="162"/>
        <item x="210"/>
        <item x="26"/>
        <item x="105"/>
        <item x="104"/>
        <item x="217"/>
        <item x="171"/>
        <item x="180"/>
        <item x="12"/>
        <item x="109"/>
        <item x="144"/>
        <item x="21"/>
        <item x="166"/>
        <item x="169"/>
        <item x="0"/>
        <item x="86"/>
        <item x="87"/>
        <item x="88"/>
        <item x="89"/>
        <item x="214"/>
        <item x="215"/>
        <item x="216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compact="0" outline="0" showAll="0" defaultSubtotal="0"/>
    <pivotField dataField="1" compact="0" outline="0" showAll="0" defaultSubtotal="0"/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compact="0" outline="0" showAll="0" defaultSubtotal="0"/>
    <pivotField dataField="1" compact="0" outline="0" showAll="0" defaultSubtotal="0"/>
    <pivotField dataField="1" compact="0" outline="0" showAll="0" defaultSubtotal="0"/>
    <pivotField compact="0" outline="0" showAll="0" defaultSubtotal="0"/>
  </pivotFields>
  <rowFields count="2">
    <field x="0"/>
    <field x="1"/>
  </rowFields>
  <rowItems count="227">
    <i>
      <x/>
      <x v="139"/>
    </i>
    <i>
      <x v="1"/>
      <x/>
    </i>
    <i>
      <x v="2"/>
      <x v="144"/>
    </i>
    <i>
      <x v="3"/>
      <x v="110"/>
    </i>
    <i>
      <x v="4"/>
      <x v="133"/>
    </i>
    <i>
      <x v="5"/>
      <x v="11"/>
    </i>
    <i>
      <x v="6"/>
      <x v="81"/>
    </i>
    <i>
      <x v="7"/>
      <x v="140"/>
    </i>
    <i>
      <x v="8"/>
      <x v="30"/>
    </i>
    <i>
      <x v="9"/>
      <x v="25"/>
    </i>
    <i>
      <x v="10"/>
      <x v="152"/>
    </i>
    <i>
      <x v="11"/>
      <x v="66"/>
    </i>
    <i>
      <x v="12"/>
      <x v="26"/>
    </i>
    <i>
      <x v="13"/>
      <x v="79"/>
    </i>
    <i>
      <x v="14"/>
      <x v="205"/>
    </i>
    <i>
      <x v="15"/>
      <x v="204"/>
    </i>
    <i>
      <x v="16"/>
      <x v="204"/>
    </i>
    <i>
      <x v="17"/>
      <x v="199"/>
    </i>
    <i>
      <x v="18"/>
      <x v="20"/>
    </i>
    <i>
      <x v="19"/>
      <x v="97"/>
    </i>
    <i>
      <x v="20"/>
      <x v="210"/>
    </i>
    <i>
      <x v="21"/>
      <x v="92"/>
    </i>
    <i>
      <x v="22"/>
      <x v="89"/>
    </i>
    <i>
      <x v="23"/>
      <x v="88"/>
    </i>
    <i>
      <x v="24"/>
      <x v="24"/>
    </i>
    <i>
      <x v="25"/>
      <x v="127"/>
    </i>
    <i>
      <x v="26"/>
      <x v="126"/>
    </i>
    <i>
      <x v="27"/>
      <x v="29"/>
    </i>
    <i>
      <x v="28"/>
      <x v="121"/>
    </i>
    <i>
      <x v="29"/>
      <x v="177"/>
    </i>
    <i>
      <x v="30"/>
      <x v="71"/>
    </i>
    <i>
      <x v="31"/>
      <x v="155"/>
    </i>
    <i>
      <x v="32"/>
      <x v="113"/>
    </i>
    <i>
      <x v="33"/>
      <x v="15"/>
    </i>
    <i>
      <x v="34"/>
      <x v="72"/>
    </i>
    <i>
      <x v="35"/>
      <x v="115"/>
    </i>
    <i>
      <x v="36"/>
      <x v="119"/>
    </i>
    <i>
      <x v="37"/>
      <x v="117"/>
    </i>
    <i>
      <x v="38"/>
      <x v="118"/>
    </i>
    <i>
      <x v="39"/>
      <x v="134"/>
    </i>
    <i>
      <x v="40"/>
      <x v="70"/>
    </i>
    <i>
      <x v="41"/>
      <x v="128"/>
    </i>
    <i>
      <x v="42"/>
      <x v="109"/>
    </i>
    <i>
      <x v="43"/>
      <x v="108"/>
    </i>
    <i>
      <x v="44"/>
      <x v="153"/>
    </i>
    <i>
      <x v="45"/>
      <x v="32"/>
    </i>
    <i>
      <x v="46"/>
      <x v="116"/>
    </i>
    <i>
      <x v="47"/>
      <x v="175"/>
    </i>
    <i>
      <x v="48"/>
      <x v="176"/>
    </i>
    <i>
      <x v="49"/>
      <x v="204"/>
    </i>
    <i>
      <x v="50"/>
      <x v="45"/>
    </i>
    <i>
      <x v="51"/>
      <x v="99"/>
    </i>
    <i>
      <x v="52"/>
      <x v="98"/>
    </i>
    <i>
      <x v="53"/>
      <x v="150"/>
    </i>
    <i>
      <x v="54"/>
      <x v="125"/>
    </i>
    <i>
      <x v="55"/>
      <x v="76"/>
    </i>
    <i>
      <x v="56"/>
      <x v="211"/>
    </i>
    <i>
      <x v="57"/>
      <x v="37"/>
    </i>
    <i>
      <x v="58"/>
      <x v="104"/>
    </i>
    <i>
      <x v="59"/>
      <x v="22"/>
    </i>
    <i>
      <x v="60"/>
      <x v="87"/>
    </i>
    <i>
      <x v="61"/>
      <x v="142"/>
    </i>
    <i>
      <x v="62"/>
      <x v="78"/>
    </i>
    <i>
      <x v="63"/>
      <x v="124"/>
    </i>
    <i>
      <x v="64"/>
      <x v="95"/>
    </i>
    <i>
      <x v="65"/>
      <x v="19"/>
    </i>
    <i>
      <x v="66"/>
      <x v="198"/>
    </i>
    <i>
      <x v="67"/>
      <x v="172"/>
    </i>
    <i>
      <x v="68"/>
      <x v="27"/>
    </i>
    <i>
      <x v="69"/>
      <x v="173"/>
    </i>
    <i>
      <x v="70"/>
      <x v="82"/>
    </i>
    <i>
      <x v="71"/>
      <x v="83"/>
    </i>
    <i>
      <x v="72"/>
      <x v="5"/>
    </i>
    <i>
      <x v="73"/>
      <x v="4"/>
    </i>
    <i>
      <x v="74"/>
      <x v="201"/>
    </i>
    <i>
      <x v="75"/>
      <x v="28"/>
    </i>
    <i>
      <x v="76"/>
      <x v="136"/>
    </i>
    <i>
      <x v="77"/>
      <x v="137"/>
    </i>
    <i>
      <x v="78"/>
      <x v="213"/>
    </i>
    <i>
      <x v="79"/>
      <x v="73"/>
    </i>
    <i>
      <x v="80"/>
      <x v="197"/>
    </i>
    <i>
      <x v="81"/>
      <x v="214"/>
    </i>
    <i>
      <x v="82"/>
      <x v="6"/>
    </i>
    <i>
      <x v="83"/>
      <x v="207"/>
    </i>
    <i>
      <x v="84"/>
      <x v="149"/>
    </i>
    <i>
      <x v="85"/>
      <x v="31"/>
    </i>
    <i>
      <x v="86"/>
      <x v="84"/>
    </i>
    <i>
      <x v="87"/>
      <x v="85"/>
    </i>
    <i>
      <x v="88"/>
      <x v="74"/>
    </i>
    <i>
      <x v="89"/>
      <x v="90"/>
    </i>
    <i>
      <x v="90"/>
      <x v="9"/>
    </i>
    <i>
      <x v="91"/>
      <x v="10"/>
    </i>
    <i>
      <x v="92"/>
      <x v="208"/>
    </i>
    <i>
      <x v="93"/>
      <x v="91"/>
    </i>
    <i>
      <x v="94"/>
      <x v="174"/>
    </i>
    <i>
      <x v="95"/>
      <x v="171"/>
    </i>
    <i>
      <x v="96"/>
      <x v="170"/>
    </i>
    <i>
      <x v="97"/>
      <x v="195"/>
    </i>
    <i>
      <x v="98"/>
      <x v="36"/>
    </i>
    <i>
      <x v="99"/>
      <x v="12"/>
    </i>
    <i>
      <x v="100"/>
      <x v="38"/>
    </i>
    <i>
      <x v="101"/>
      <x v="148"/>
    </i>
    <i>
      <x v="102"/>
      <x v="194"/>
    </i>
    <i>
      <x v="103"/>
      <x v="154"/>
    </i>
    <i>
      <x v="104"/>
      <x v="103"/>
    </i>
    <i>
      <x v="105"/>
      <x v="96"/>
    </i>
    <i>
      <x v="106"/>
      <x v="141"/>
    </i>
    <i>
      <x v="107"/>
      <x v="86"/>
    </i>
    <i>
      <x v="108"/>
      <x v="40"/>
    </i>
    <i>
      <x v="109"/>
      <x v="33"/>
    </i>
    <i>
      <x v="110"/>
      <x v="17"/>
    </i>
    <i>
      <x v="111"/>
      <x v="112"/>
    </i>
    <i>
      <x v="112"/>
      <x v="14"/>
    </i>
    <i>
      <x v="113"/>
      <x v="151"/>
    </i>
    <i>
      <x v="114"/>
      <x v="138"/>
    </i>
    <i>
      <x v="115"/>
      <x v="44"/>
    </i>
    <i>
      <x v="116"/>
      <x v="111"/>
    </i>
    <i>
      <x v="117"/>
      <x v="77"/>
    </i>
    <i>
      <x v="118"/>
      <x v="21"/>
    </i>
    <i>
      <x v="119"/>
      <x v="200"/>
    </i>
    <i>
      <x v="120"/>
      <x v="114"/>
    </i>
    <i>
      <x v="121"/>
      <x v="102"/>
    </i>
    <i>
      <x v="122"/>
      <x v="209"/>
    </i>
    <i>
      <x v="123"/>
      <x v="23"/>
    </i>
    <i>
      <x v="124"/>
      <x v="75"/>
    </i>
    <i>
      <x v="125"/>
      <x v="13"/>
    </i>
    <i>
      <x v="126"/>
      <x v="143"/>
    </i>
    <i>
      <x v="127"/>
      <x v="93"/>
    </i>
    <i>
      <x v="128"/>
      <x v="196"/>
    </i>
    <i>
      <x v="129"/>
      <x v="16"/>
    </i>
    <i>
      <x v="130"/>
      <x v="147"/>
    </i>
    <i>
      <x v="131"/>
      <x v="212"/>
    </i>
    <i>
      <x v="132"/>
      <x v="101"/>
    </i>
    <i>
      <x v="133"/>
      <x v="39"/>
    </i>
    <i>
      <x v="134"/>
      <x v="67"/>
    </i>
    <i>
      <x v="135"/>
      <x v="120"/>
    </i>
    <i>
      <x v="136"/>
      <x v="203"/>
    </i>
    <i>
      <x v="137"/>
      <x v="178"/>
    </i>
    <i>
      <x v="138"/>
      <x v="106"/>
    </i>
    <i>
      <x v="139"/>
      <x v="107"/>
    </i>
    <i>
      <x v="140"/>
      <x v="105"/>
    </i>
    <i>
      <x v="141"/>
      <x v="48"/>
    </i>
    <i>
      <x v="142"/>
      <x v="46"/>
    </i>
    <i>
      <x v="143"/>
      <x v="47"/>
    </i>
    <i>
      <x v="144"/>
      <x v="52"/>
    </i>
    <i>
      <x v="145"/>
      <x v="59"/>
    </i>
    <i>
      <x v="146"/>
      <x v="64"/>
    </i>
    <i>
      <x v="147"/>
      <x v="56"/>
    </i>
    <i>
      <x v="148"/>
      <x v="63"/>
    </i>
    <i>
      <x v="149"/>
      <x v="62"/>
    </i>
    <i>
      <x v="150"/>
      <x v="55"/>
    </i>
    <i>
      <x v="151"/>
      <x v="57"/>
    </i>
    <i>
      <x v="152"/>
      <x v="54"/>
    </i>
    <i>
      <x v="153"/>
      <x v="53"/>
    </i>
    <i>
      <x v="154"/>
      <x v="61"/>
    </i>
    <i>
      <x v="155"/>
      <x v="58"/>
    </i>
    <i>
      <x v="156"/>
      <x v="60"/>
    </i>
    <i>
      <x v="157"/>
      <x v="51"/>
    </i>
    <i>
      <x v="158"/>
      <x v="49"/>
    </i>
    <i>
      <x v="159"/>
      <x v="50"/>
    </i>
    <i>
      <x v="160"/>
      <x v="65"/>
    </i>
    <i>
      <x v="161"/>
      <x v="41"/>
    </i>
    <i>
      <x v="162"/>
      <x v="43"/>
    </i>
    <i>
      <x v="163"/>
      <x v="42"/>
    </i>
    <i>
      <x v="164"/>
      <x v="100"/>
    </i>
    <i>
      <x v="165"/>
      <x v="129"/>
    </i>
    <i>
      <x v="166"/>
      <x v="7"/>
    </i>
    <i>
      <x v="167"/>
      <x v="8"/>
    </i>
    <i>
      <x v="168"/>
      <x v="94"/>
    </i>
    <i>
      <x v="169"/>
      <x v="69"/>
    </i>
    <i>
      <x v="170"/>
      <x v="68"/>
    </i>
    <i>
      <x v="171"/>
      <x v="34"/>
    </i>
    <i>
      <x v="172"/>
      <x v="35"/>
    </i>
    <i>
      <x v="173"/>
      <x v="18"/>
    </i>
    <i>
      <x v="174"/>
      <x v="156"/>
    </i>
    <i>
      <x v="175"/>
      <x v="165"/>
    </i>
    <i>
      <x v="176"/>
      <x v="159"/>
    </i>
    <i>
      <x v="177"/>
      <x v="169"/>
    </i>
    <i>
      <x v="178"/>
      <x v="167"/>
    </i>
    <i>
      <x v="179"/>
      <x v="163"/>
    </i>
    <i>
      <x v="180"/>
      <x v="168"/>
    </i>
    <i>
      <x v="181"/>
      <x v="162"/>
    </i>
    <i>
      <x v="182"/>
      <x v="157"/>
    </i>
    <i>
      <x v="184"/>
      <x v="164"/>
    </i>
    <i>
      <x v="185"/>
      <x v="166"/>
    </i>
    <i>
      <x v="186"/>
      <x v="161"/>
    </i>
    <i>
      <x v="187"/>
      <x v="160"/>
    </i>
    <i>
      <x v="188"/>
      <x v="158"/>
    </i>
    <i>
      <x v="189"/>
      <x v="131"/>
    </i>
    <i>
      <x v="190"/>
      <x v="130"/>
    </i>
    <i>
      <x v="191"/>
      <x v="132"/>
    </i>
    <i>
      <x v="192"/>
      <x v="179"/>
    </i>
    <i>
      <x v="193"/>
      <x v="188"/>
    </i>
    <i>
      <x v="194"/>
      <x v="182"/>
    </i>
    <i>
      <x v="195"/>
      <x v="191"/>
    </i>
    <i>
      <x v="196"/>
      <x v="190"/>
    </i>
    <i>
      <x v="197"/>
      <x v="186"/>
    </i>
    <i>
      <x v="199"/>
      <x v="185"/>
    </i>
    <i>
      <x v="200"/>
      <x v="187"/>
    </i>
    <i>
      <x v="201"/>
      <x v="189"/>
    </i>
    <i>
      <x v="202"/>
      <x v="180"/>
    </i>
    <i>
      <x v="203"/>
      <x v="184"/>
    </i>
    <i>
      <x v="204"/>
      <x v="183"/>
    </i>
    <i>
      <x v="205"/>
      <x v="192"/>
    </i>
    <i>
      <x v="206"/>
      <x v="181"/>
    </i>
    <i>
      <x v="207"/>
      <x v="193"/>
    </i>
    <i>
      <x v="208"/>
      <x v="1"/>
    </i>
    <i r="1">
      <x v="2"/>
    </i>
    <i r="1">
      <x v="3"/>
    </i>
    <i r="1">
      <x v="80"/>
    </i>
    <i r="1">
      <x v="122"/>
    </i>
    <i r="1">
      <x v="123"/>
    </i>
    <i r="1">
      <x v="135"/>
    </i>
    <i r="1">
      <x v="139"/>
    </i>
    <i r="1">
      <x v="145"/>
    </i>
    <i r="1">
      <x v="146"/>
    </i>
    <i r="1">
      <x v="202"/>
    </i>
    <i r="1">
      <x v="206"/>
    </i>
    <i r="1">
      <x v="215"/>
    </i>
    <i r="1">
      <x v="216"/>
    </i>
    <i r="1">
      <x v="217"/>
    </i>
    <i r="1">
      <x v="218"/>
    </i>
    <i r="1">
      <x v="219"/>
    </i>
    <i>
      <x v="209"/>
      <x v="220"/>
    </i>
    <i>
      <x v="210"/>
      <x v="221"/>
    </i>
    <i>
      <x v="211"/>
      <x v="222"/>
    </i>
    <i t="grand">
      <x/>
    </i>
  </rowItems>
  <colFields count="1">
    <field x="-2"/>
  </colFields>
  <colItems count="1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</colItems>
  <dataFields count="18">
    <dataField name="Összeg / Pedagógiai és Pszichológiai Intézet" fld="7" baseField="2" baseItem="3072" numFmtId="171"/>
    <dataField name="Összeg / Sporttudományi Intézet" fld="8" baseField="0" baseItem="1"/>
    <dataField name="Összeg / PPK Általános" fld="9" baseField="1" baseItem="0"/>
    <dataField name="Összeg / Kari kiválósági munkaszám" fld="10" baseField="1" baseItem="0"/>
    <dataField name="Összeg / Képzési munkaszámok" fld="15" baseField="1" baseItem="0"/>
    <dataField name="Összeg / Üzemeltetés" fld="16" baseField="1" baseItem="0"/>
    <dataField name="Összeg / Közterületesítés különbözet" fld="17" baseField="1" baseItem="0"/>
    <dataField name="Összeg / ÁKTH SZH" fld="18" baseField="1" baseItem="0"/>
    <dataField name="Összeg / SZOCHO átadás " fld="19" baseField="1" baseItem="0"/>
    <dataField name="Összeg / Kiválósági Alap 0,5%" fld="21" baseField="1" baseItem="0"/>
    <dataField name="Összeg / Kiválósági Alap 5%" fld="22" baseField="1" baseItem="0"/>
    <dataField name="Összeg / Szhely. tanárképzés gyakorlat" fld="29" baseField="1" baseItem="0"/>
    <dataField name="Összeg / Átoktatás bevételből" fld="30" baseField="1" baseItem="0"/>
    <dataField name="Összeg / Átoktatás támogatásból" fld="31" baseField="1" baseItem="0"/>
    <dataField name="Összeg / Átoktatás stipendiumból" fld="32" baseField="1" baseItem="0"/>
    <dataField name="Összeg / Átoktatás egyéb" fld="33" baseField="1" baseItem="0"/>
    <dataField name="Összeg / Kiválósági ösztöndíj" fld="35" baseField="1" baseItem="0"/>
    <dataField name="Összeg / SEK Keresztfinansz." fld="36" baseField="1" baseItem="0"/>
  </dataFields>
  <formats count="458">
    <format dxfId="558">
      <pivotArea type="all" dataOnly="0" outline="0" fieldPosition="0"/>
    </format>
    <format dxfId="557">
      <pivotArea dataOnly="0" labelOnly="1" outline="0" axis="axisValues" fieldPosition="0"/>
    </format>
    <format dxfId="556">
      <pivotArea outline="0" fieldPosition="0">
        <references count="1">
          <reference field="4294967294" count="1">
            <x v="0"/>
          </reference>
        </references>
      </pivotArea>
    </format>
    <format dxfId="555">
      <pivotArea type="origin" dataOnly="0" labelOnly="1" outline="0" fieldPosition="0"/>
    </format>
    <format dxfId="554">
      <pivotArea field="-2" type="button" dataOnly="0" labelOnly="1" outline="0" axis="axisCol" fieldPosition="0"/>
    </format>
    <format dxfId="553">
      <pivotArea type="topRight" dataOnly="0" labelOnly="1" outline="0" fieldPosition="0"/>
    </format>
    <format dxfId="552">
      <pivotArea field="0" type="button" dataOnly="0" labelOnly="1" outline="0" axis="axisRow" fieldPosition="0"/>
    </format>
    <format dxfId="551">
      <pivotArea field="1" type="button" dataOnly="0" labelOnly="1" outline="0" axis="axisRow" fieldPosition="1"/>
    </format>
    <format dxfId="55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549">
      <pivotArea type="all" dataOnly="0" outline="0" fieldPosition="0"/>
    </format>
    <format dxfId="548">
      <pivotArea outline="0" collapsedLevelsAreSubtotals="1" fieldPosition="0"/>
    </format>
    <format dxfId="547">
      <pivotArea type="origin" dataOnly="0" labelOnly="1" outline="0" fieldPosition="0"/>
    </format>
    <format dxfId="546">
      <pivotArea field="-2" type="button" dataOnly="0" labelOnly="1" outline="0" axis="axisCol" fieldPosition="0"/>
    </format>
    <format dxfId="545">
      <pivotArea type="topRight" dataOnly="0" labelOnly="1" outline="0" fieldPosition="0"/>
    </format>
    <format dxfId="544">
      <pivotArea field="0" type="button" dataOnly="0" labelOnly="1" outline="0" axis="axisRow" fieldPosition="0"/>
    </format>
    <format dxfId="543">
      <pivotArea field="1" type="button" dataOnly="0" labelOnly="1" outline="0" axis="axisRow" fieldPosition="1"/>
    </format>
    <format dxfId="542">
      <pivotArea dataOnly="0" labelOnly="1" outline="0" fieldPosition="0">
        <references count="1">
          <reference field="0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41">
      <pivotArea dataOnly="0" labelOnly="1" outline="0" fieldPosition="0">
        <references count="1">
          <reference field="0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540">
      <pivotArea dataOnly="0" labelOnly="1" outline="0" fieldPosition="0">
        <references count="1">
          <reference field="0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539">
      <pivotArea dataOnly="0" labelOnly="1" outline="0" fieldPosition="0">
        <references count="1">
          <reference field="0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538">
      <pivotArea dataOnly="0" labelOnly="1" outline="0" fieldPosition="0">
        <references count="1">
          <reference field="0" count="9">
            <x v="200"/>
            <x v="201"/>
            <x v="202"/>
            <x v="203"/>
            <x v="204"/>
            <x v="205"/>
            <x v="206"/>
            <x v="207"/>
            <x v="208"/>
          </reference>
        </references>
      </pivotArea>
    </format>
    <format dxfId="537">
      <pivotArea dataOnly="0" labelOnly="1" grandRow="1" outline="0" fieldPosition="0"/>
    </format>
    <format dxfId="536">
      <pivotArea dataOnly="0" labelOnly="1" outline="0" fieldPosition="0">
        <references count="2">
          <reference field="0" count="1" selected="0">
            <x v="0"/>
          </reference>
          <reference field="1" count="1">
            <x v="139"/>
          </reference>
        </references>
      </pivotArea>
    </format>
    <format dxfId="535">
      <pivotArea dataOnly="0" labelOnly="1" outline="0" fieldPosition="0">
        <references count="2">
          <reference field="0" count="1" selected="0">
            <x v="1"/>
          </reference>
          <reference field="1" count="1">
            <x v="0"/>
          </reference>
        </references>
      </pivotArea>
    </format>
    <format dxfId="534">
      <pivotArea dataOnly="0" labelOnly="1" outline="0" fieldPosition="0">
        <references count="2">
          <reference field="0" count="1" selected="0">
            <x v="2"/>
          </reference>
          <reference field="1" count="1">
            <x v="144"/>
          </reference>
        </references>
      </pivotArea>
    </format>
    <format dxfId="533">
      <pivotArea dataOnly="0" labelOnly="1" outline="0" fieldPosition="0">
        <references count="2">
          <reference field="0" count="1" selected="0">
            <x v="3"/>
          </reference>
          <reference field="1" count="1">
            <x v="110"/>
          </reference>
        </references>
      </pivotArea>
    </format>
    <format dxfId="532">
      <pivotArea dataOnly="0" labelOnly="1" outline="0" fieldPosition="0">
        <references count="2">
          <reference field="0" count="1" selected="0">
            <x v="4"/>
          </reference>
          <reference field="1" count="1">
            <x v="133"/>
          </reference>
        </references>
      </pivotArea>
    </format>
    <format dxfId="531">
      <pivotArea dataOnly="0" labelOnly="1" outline="0" fieldPosition="0">
        <references count="2">
          <reference field="0" count="1" selected="0">
            <x v="5"/>
          </reference>
          <reference field="1" count="1">
            <x v="11"/>
          </reference>
        </references>
      </pivotArea>
    </format>
    <format dxfId="530">
      <pivotArea dataOnly="0" labelOnly="1" outline="0" fieldPosition="0">
        <references count="2">
          <reference field="0" count="1" selected="0">
            <x v="6"/>
          </reference>
          <reference field="1" count="1">
            <x v="81"/>
          </reference>
        </references>
      </pivotArea>
    </format>
    <format dxfId="529">
      <pivotArea dataOnly="0" labelOnly="1" outline="0" fieldPosition="0">
        <references count="2">
          <reference field="0" count="1" selected="0">
            <x v="7"/>
          </reference>
          <reference field="1" count="1">
            <x v="140"/>
          </reference>
        </references>
      </pivotArea>
    </format>
    <format dxfId="528">
      <pivotArea dataOnly="0" labelOnly="1" outline="0" fieldPosition="0">
        <references count="2">
          <reference field="0" count="1" selected="0">
            <x v="8"/>
          </reference>
          <reference field="1" count="1">
            <x v="30"/>
          </reference>
        </references>
      </pivotArea>
    </format>
    <format dxfId="527">
      <pivotArea dataOnly="0" labelOnly="1" outline="0" fieldPosition="0">
        <references count="2">
          <reference field="0" count="1" selected="0">
            <x v="9"/>
          </reference>
          <reference field="1" count="1">
            <x v="25"/>
          </reference>
        </references>
      </pivotArea>
    </format>
    <format dxfId="526">
      <pivotArea dataOnly="0" labelOnly="1" outline="0" fieldPosition="0">
        <references count="2">
          <reference field="0" count="1" selected="0">
            <x v="10"/>
          </reference>
          <reference field="1" count="1">
            <x v="152"/>
          </reference>
        </references>
      </pivotArea>
    </format>
    <format dxfId="525">
      <pivotArea dataOnly="0" labelOnly="1" outline="0" fieldPosition="0">
        <references count="2">
          <reference field="0" count="1" selected="0">
            <x v="11"/>
          </reference>
          <reference field="1" count="1">
            <x v="66"/>
          </reference>
        </references>
      </pivotArea>
    </format>
    <format dxfId="524">
      <pivotArea dataOnly="0" labelOnly="1" outline="0" fieldPosition="0">
        <references count="2">
          <reference field="0" count="1" selected="0">
            <x v="12"/>
          </reference>
          <reference field="1" count="1">
            <x v="26"/>
          </reference>
        </references>
      </pivotArea>
    </format>
    <format dxfId="523">
      <pivotArea dataOnly="0" labelOnly="1" outline="0" fieldPosition="0">
        <references count="2">
          <reference field="0" count="1" selected="0">
            <x v="13"/>
          </reference>
          <reference field="1" count="1">
            <x v="79"/>
          </reference>
        </references>
      </pivotArea>
    </format>
    <format dxfId="522">
      <pivotArea dataOnly="0" labelOnly="1" outline="0" fieldPosition="0">
        <references count="2">
          <reference field="0" count="1" selected="0">
            <x v="14"/>
          </reference>
          <reference field="1" count="1">
            <x v="205"/>
          </reference>
        </references>
      </pivotArea>
    </format>
    <format dxfId="521">
      <pivotArea dataOnly="0" labelOnly="1" outline="0" fieldPosition="0">
        <references count="2">
          <reference field="0" count="1" selected="0">
            <x v="15"/>
          </reference>
          <reference field="1" count="1">
            <x v="204"/>
          </reference>
        </references>
      </pivotArea>
    </format>
    <format dxfId="520">
      <pivotArea dataOnly="0" labelOnly="1" outline="0" fieldPosition="0">
        <references count="2">
          <reference field="0" count="1" selected="0">
            <x v="16"/>
          </reference>
          <reference field="1" count="1">
            <x v="204"/>
          </reference>
        </references>
      </pivotArea>
    </format>
    <format dxfId="519">
      <pivotArea dataOnly="0" labelOnly="1" outline="0" fieldPosition="0">
        <references count="2">
          <reference field="0" count="1" selected="0">
            <x v="17"/>
          </reference>
          <reference field="1" count="1">
            <x v="199"/>
          </reference>
        </references>
      </pivotArea>
    </format>
    <format dxfId="518">
      <pivotArea dataOnly="0" labelOnly="1" outline="0" fieldPosition="0">
        <references count="2">
          <reference field="0" count="1" selected="0">
            <x v="18"/>
          </reference>
          <reference field="1" count="1">
            <x v="20"/>
          </reference>
        </references>
      </pivotArea>
    </format>
    <format dxfId="517">
      <pivotArea dataOnly="0" labelOnly="1" outline="0" fieldPosition="0">
        <references count="2">
          <reference field="0" count="1" selected="0">
            <x v="19"/>
          </reference>
          <reference field="1" count="1">
            <x v="97"/>
          </reference>
        </references>
      </pivotArea>
    </format>
    <format dxfId="516">
      <pivotArea dataOnly="0" labelOnly="1" outline="0" fieldPosition="0">
        <references count="2">
          <reference field="0" count="1" selected="0">
            <x v="20"/>
          </reference>
          <reference field="1" count="1">
            <x v="210"/>
          </reference>
        </references>
      </pivotArea>
    </format>
    <format dxfId="515">
      <pivotArea dataOnly="0" labelOnly="1" outline="0" fieldPosition="0">
        <references count="2">
          <reference field="0" count="1" selected="0">
            <x v="21"/>
          </reference>
          <reference field="1" count="1">
            <x v="92"/>
          </reference>
        </references>
      </pivotArea>
    </format>
    <format dxfId="514">
      <pivotArea dataOnly="0" labelOnly="1" outline="0" fieldPosition="0">
        <references count="2">
          <reference field="0" count="1" selected="0">
            <x v="22"/>
          </reference>
          <reference field="1" count="1">
            <x v="89"/>
          </reference>
        </references>
      </pivotArea>
    </format>
    <format dxfId="513">
      <pivotArea dataOnly="0" labelOnly="1" outline="0" fieldPosition="0">
        <references count="2">
          <reference field="0" count="1" selected="0">
            <x v="23"/>
          </reference>
          <reference field="1" count="1">
            <x v="88"/>
          </reference>
        </references>
      </pivotArea>
    </format>
    <format dxfId="512">
      <pivotArea dataOnly="0" labelOnly="1" outline="0" fieldPosition="0">
        <references count="2">
          <reference field="0" count="1" selected="0">
            <x v="24"/>
          </reference>
          <reference field="1" count="1">
            <x v="24"/>
          </reference>
        </references>
      </pivotArea>
    </format>
    <format dxfId="511">
      <pivotArea dataOnly="0" labelOnly="1" outline="0" fieldPosition="0">
        <references count="2">
          <reference field="0" count="1" selected="0">
            <x v="25"/>
          </reference>
          <reference field="1" count="1">
            <x v="127"/>
          </reference>
        </references>
      </pivotArea>
    </format>
    <format dxfId="510">
      <pivotArea dataOnly="0" labelOnly="1" outline="0" fieldPosition="0">
        <references count="2">
          <reference field="0" count="1" selected="0">
            <x v="26"/>
          </reference>
          <reference field="1" count="1">
            <x v="126"/>
          </reference>
        </references>
      </pivotArea>
    </format>
    <format dxfId="509">
      <pivotArea dataOnly="0" labelOnly="1" outline="0" fieldPosition="0">
        <references count="2">
          <reference field="0" count="1" selected="0">
            <x v="27"/>
          </reference>
          <reference field="1" count="1">
            <x v="29"/>
          </reference>
        </references>
      </pivotArea>
    </format>
    <format dxfId="508">
      <pivotArea dataOnly="0" labelOnly="1" outline="0" fieldPosition="0">
        <references count="2">
          <reference field="0" count="1" selected="0">
            <x v="28"/>
          </reference>
          <reference field="1" count="1">
            <x v="121"/>
          </reference>
        </references>
      </pivotArea>
    </format>
    <format dxfId="507">
      <pivotArea dataOnly="0" labelOnly="1" outline="0" fieldPosition="0">
        <references count="2">
          <reference field="0" count="1" selected="0">
            <x v="29"/>
          </reference>
          <reference field="1" count="1">
            <x v="177"/>
          </reference>
        </references>
      </pivotArea>
    </format>
    <format dxfId="506">
      <pivotArea dataOnly="0" labelOnly="1" outline="0" fieldPosition="0">
        <references count="2">
          <reference field="0" count="1" selected="0">
            <x v="30"/>
          </reference>
          <reference field="1" count="1">
            <x v="71"/>
          </reference>
        </references>
      </pivotArea>
    </format>
    <format dxfId="505">
      <pivotArea dataOnly="0" labelOnly="1" outline="0" fieldPosition="0">
        <references count="2">
          <reference field="0" count="1" selected="0">
            <x v="31"/>
          </reference>
          <reference field="1" count="1">
            <x v="155"/>
          </reference>
        </references>
      </pivotArea>
    </format>
    <format dxfId="504">
      <pivotArea dataOnly="0" labelOnly="1" outline="0" fieldPosition="0">
        <references count="2">
          <reference field="0" count="1" selected="0">
            <x v="32"/>
          </reference>
          <reference field="1" count="1">
            <x v="113"/>
          </reference>
        </references>
      </pivotArea>
    </format>
    <format dxfId="503">
      <pivotArea dataOnly="0" labelOnly="1" outline="0" fieldPosition="0">
        <references count="2">
          <reference field="0" count="1" selected="0">
            <x v="33"/>
          </reference>
          <reference field="1" count="1">
            <x v="15"/>
          </reference>
        </references>
      </pivotArea>
    </format>
    <format dxfId="502">
      <pivotArea dataOnly="0" labelOnly="1" outline="0" fieldPosition="0">
        <references count="2">
          <reference field="0" count="1" selected="0">
            <x v="34"/>
          </reference>
          <reference field="1" count="1">
            <x v="72"/>
          </reference>
        </references>
      </pivotArea>
    </format>
    <format dxfId="501">
      <pivotArea dataOnly="0" labelOnly="1" outline="0" fieldPosition="0">
        <references count="2">
          <reference field="0" count="1" selected="0">
            <x v="35"/>
          </reference>
          <reference field="1" count="1">
            <x v="115"/>
          </reference>
        </references>
      </pivotArea>
    </format>
    <format dxfId="500">
      <pivotArea dataOnly="0" labelOnly="1" outline="0" fieldPosition="0">
        <references count="2">
          <reference field="0" count="1" selected="0">
            <x v="36"/>
          </reference>
          <reference field="1" count="1">
            <x v="119"/>
          </reference>
        </references>
      </pivotArea>
    </format>
    <format dxfId="499">
      <pivotArea dataOnly="0" labelOnly="1" outline="0" fieldPosition="0">
        <references count="2">
          <reference field="0" count="1" selected="0">
            <x v="37"/>
          </reference>
          <reference field="1" count="1">
            <x v="117"/>
          </reference>
        </references>
      </pivotArea>
    </format>
    <format dxfId="498">
      <pivotArea dataOnly="0" labelOnly="1" outline="0" fieldPosition="0">
        <references count="2">
          <reference field="0" count="1" selected="0">
            <x v="38"/>
          </reference>
          <reference field="1" count="1">
            <x v="118"/>
          </reference>
        </references>
      </pivotArea>
    </format>
    <format dxfId="497">
      <pivotArea dataOnly="0" labelOnly="1" outline="0" fieldPosition="0">
        <references count="2">
          <reference field="0" count="1" selected="0">
            <x v="39"/>
          </reference>
          <reference field="1" count="1">
            <x v="134"/>
          </reference>
        </references>
      </pivotArea>
    </format>
    <format dxfId="496">
      <pivotArea dataOnly="0" labelOnly="1" outline="0" fieldPosition="0">
        <references count="2">
          <reference field="0" count="1" selected="0">
            <x v="40"/>
          </reference>
          <reference field="1" count="1">
            <x v="70"/>
          </reference>
        </references>
      </pivotArea>
    </format>
    <format dxfId="495">
      <pivotArea dataOnly="0" labelOnly="1" outline="0" fieldPosition="0">
        <references count="2">
          <reference field="0" count="1" selected="0">
            <x v="41"/>
          </reference>
          <reference field="1" count="1">
            <x v="128"/>
          </reference>
        </references>
      </pivotArea>
    </format>
    <format dxfId="494">
      <pivotArea dataOnly="0" labelOnly="1" outline="0" fieldPosition="0">
        <references count="2">
          <reference field="0" count="1" selected="0">
            <x v="42"/>
          </reference>
          <reference field="1" count="1">
            <x v="109"/>
          </reference>
        </references>
      </pivotArea>
    </format>
    <format dxfId="493">
      <pivotArea dataOnly="0" labelOnly="1" outline="0" fieldPosition="0">
        <references count="2">
          <reference field="0" count="1" selected="0">
            <x v="43"/>
          </reference>
          <reference field="1" count="1">
            <x v="108"/>
          </reference>
        </references>
      </pivotArea>
    </format>
    <format dxfId="492">
      <pivotArea dataOnly="0" labelOnly="1" outline="0" fieldPosition="0">
        <references count="2">
          <reference field="0" count="1" selected="0">
            <x v="44"/>
          </reference>
          <reference field="1" count="1">
            <x v="153"/>
          </reference>
        </references>
      </pivotArea>
    </format>
    <format dxfId="491">
      <pivotArea dataOnly="0" labelOnly="1" outline="0" fieldPosition="0">
        <references count="2">
          <reference field="0" count="1" selected="0">
            <x v="45"/>
          </reference>
          <reference field="1" count="1">
            <x v="32"/>
          </reference>
        </references>
      </pivotArea>
    </format>
    <format dxfId="490">
      <pivotArea dataOnly="0" labelOnly="1" outline="0" fieldPosition="0">
        <references count="2">
          <reference field="0" count="1" selected="0">
            <x v="46"/>
          </reference>
          <reference field="1" count="1">
            <x v="116"/>
          </reference>
        </references>
      </pivotArea>
    </format>
    <format dxfId="489">
      <pivotArea dataOnly="0" labelOnly="1" outline="0" fieldPosition="0">
        <references count="2">
          <reference field="0" count="1" selected="0">
            <x v="47"/>
          </reference>
          <reference field="1" count="1">
            <x v="175"/>
          </reference>
        </references>
      </pivotArea>
    </format>
    <format dxfId="488">
      <pivotArea dataOnly="0" labelOnly="1" outline="0" fieldPosition="0">
        <references count="2">
          <reference field="0" count="1" selected="0">
            <x v="48"/>
          </reference>
          <reference field="1" count="1">
            <x v="176"/>
          </reference>
        </references>
      </pivotArea>
    </format>
    <format dxfId="487">
      <pivotArea dataOnly="0" labelOnly="1" outline="0" fieldPosition="0">
        <references count="2">
          <reference field="0" count="1" selected="0">
            <x v="49"/>
          </reference>
          <reference field="1" count="1">
            <x v="204"/>
          </reference>
        </references>
      </pivotArea>
    </format>
    <format dxfId="486">
      <pivotArea dataOnly="0" labelOnly="1" outline="0" fieldPosition="0">
        <references count="2">
          <reference field="0" count="1" selected="0">
            <x v="50"/>
          </reference>
          <reference field="1" count="1">
            <x v="45"/>
          </reference>
        </references>
      </pivotArea>
    </format>
    <format dxfId="485">
      <pivotArea dataOnly="0" labelOnly="1" outline="0" fieldPosition="0">
        <references count="2">
          <reference field="0" count="1" selected="0">
            <x v="51"/>
          </reference>
          <reference field="1" count="1">
            <x v="99"/>
          </reference>
        </references>
      </pivotArea>
    </format>
    <format dxfId="484">
      <pivotArea dataOnly="0" labelOnly="1" outline="0" fieldPosition="0">
        <references count="2">
          <reference field="0" count="1" selected="0">
            <x v="52"/>
          </reference>
          <reference field="1" count="1">
            <x v="98"/>
          </reference>
        </references>
      </pivotArea>
    </format>
    <format dxfId="483">
      <pivotArea dataOnly="0" labelOnly="1" outline="0" fieldPosition="0">
        <references count="2">
          <reference field="0" count="1" selected="0">
            <x v="53"/>
          </reference>
          <reference field="1" count="1">
            <x v="150"/>
          </reference>
        </references>
      </pivotArea>
    </format>
    <format dxfId="482">
      <pivotArea dataOnly="0" labelOnly="1" outline="0" fieldPosition="0">
        <references count="2">
          <reference field="0" count="1" selected="0">
            <x v="54"/>
          </reference>
          <reference field="1" count="1">
            <x v="125"/>
          </reference>
        </references>
      </pivotArea>
    </format>
    <format dxfId="481">
      <pivotArea dataOnly="0" labelOnly="1" outline="0" fieldPosition="0">
        <references count="2">
          <reference field="0" count="1" selected="0">
            <x v="55"/>
          </reference>
          <reference field="1" count="1">
            <x v="76"/>
          </reference>
        </references>
      </pivotArea>
    </format>
    <format dxfId="480">
      <pivotArea dataOnly="0" labelOnly="1" outline="0" fieldPosition="0">
        <references count="2">
          <reference field="0" count="1" selected="0">
            <x v="56"/>
          </reference>
          <reference field="1" count="1">
            <x v="211"/>
          </reference>
        </references>
      </pivotArea>
    </format>
    <format dxfId="479">
      <pivotArea dataOnly="0" labelOnly="1" outline="0" fieldPosition="0">
        <references count="2">
          <reference field="0" count="1" selected="0">
            <x v="57"/>
          </reference>
          <reference field="1" count="1">
            <x v="37"/>
          </reference>
        </references>
      </pivotArea>
    </format>
    <format dxfId="478">
      <pivotArea dataOnly="0" labelOnly="1" outline="0" fieldPosition="0">
        <references count="2">
          <reference field="0" count="1" selected="0">
            <x v="58"/>
          </reference>
          <reference field="1" count="1">
            <x v="104"/>
          </reference>
        </references>
      </pivotArea>
    </format>
    <format dxfId="477">
      <pivotArea dataOnly="0" labelOnly="1" outline="0" fieldPosition="0">
        <references count="2">
          <reference field="0" count="1" selected="0">
            <x v="59"/>
          </reference>
          <reference field="1" count="1">
            <x v="22"/>
          </reference>
        </references>
      </pivotArea>
    </format>
    <format dxfId="476">
      <pivotArea dataOnly="0" labelOnly="1" outline="0" fieldPosition="0">
        <references count="2">
          <reference field="0" count="1" selected="0">
            <x v="60"/>
          </reference>
          <reference field="1" count="1">
            <x v="87"/>
          </reference>
        </references>
      </pivotArea>
    </format>
    <format dxfId="475">
      <pivotArea dataOnly="0" labelOnly="1" outline="0" fieldPosition="0">
        <references count="2">
          <reference field="0" count="1" selected="0">
            <x v="61"/>
          </reference>
          <reference field="1" count="1">
            <x v="142"/>
          </reference>
        </references>
      </pivotArea>
    </format>
    <format dxfId="474">
      <pivotArea dataOnly="0" labelOnly="1" outline="0" fieldPosition="0">
        <references count="2">
          <reference field="0" count="1" selected="0">
            <x v="62"/>
          </reference>
          <reference field="1" count="1">
            <x v="78"/>
          </reference>
        </references>
      </pivotArea>
    </format>
    <format dxfId="473">
      <pivotArea dataOnly="0" labelOnly="1" outline="0" fieldPosition="0">
        <references count="2">
          <reference field="0" count="1" selected="0">
            <x v="63"/>
          </reference>
          <reference field="1" count="1">
            <x v="124"/>
          </reference>
        </references>
      </pivotArea>
    </format>
    <format dxfId="472">
      <pivotArea dataOnly="0" labelOnly="1" outline="0" fieldPosition="0">
        <references count="2">
          <reference field="0" count="1" selected="0">
            <x v="64"/>
          </reference>
          <reference field="1" count="1">
            <x v="95"/>
          </reference>
        </references>
      </pivotArea>
    </format>
    <format dxfId="471">
      <pivotArea dataOnly="0" labelOnly="1" outline="0" fieldPosition="0">
        <references count="2">
          <reference field="0" count="1" selected="0">
            <x v="65"/>
          </reference>
          <reference field="1" count="1">
            <x v="19"/>
          </reference>
        </references>
      </pivotArea>
    </format>
    <format dxfId="470">
      <pivotArea dataOnly="0" labelOnly="1" outline="0" fieldPosition="0">
        <references count="2">
          <reference field="0" count="1" selected="0">
            <x v="66"/>
          </reference>
          <reference field="1" count="1">
            <x v="198"/>
          </reference>
        </references>
      </pivotArea>
    </format>
    <format dxfId="469">
      <pivotArea dataOnly="0" labelOnly="1" outline="0" fieldPosition="0">
        <references count="2">
          <reference field="0" count="1" selected="0">
            <x v="67"/>
          </reference>
          <reference field="1" count="1">
            <x v="172"/>
          </reference>
        </references>
      </pivotArea>
    </format>
    <format dxfId="468">
      <pivotArea dataOnly="0" labelOnly="1" outline="0" fieldPosition="0">
        <references count="2">
          <reference field="0" count="1" selected="0">
            <x v="68"/>
          </reference>
          <reference field="1" count="1">
            <x v="27"/>
          </reference>
        </references>
      </pivotArea>
    </format>
    <format dxfId="467">
      <pivotArea dataOnly="0" labelOnly="1" outline="0" fieldPosition="0">
        <references count="2">
          <reference field="0" count="1" selected="0">
            <x v="69"/>
          </reference>
          <reference field="1" count="1">
            <x v="173"/>
          </reference>
        </references>
      </pivotArea>
    </format>
    <format dxfId="466">
      <pivotArea dataOnly="0" labelOnly="1" outline="0" fieldPosition="0">
        <references count="2">
          <reference field="0" count="1" selected="0">
            <x v="70"/>
          </reference>
          <reference field="1" count="1">
            <x v="82"/>
          </reference>
        </references>
      </pivotArea>
    </format>
    <format dxfId="465">
      <pivotArea dataOnly="0" labelOnly="1" outline="0" fieldPosition="0">
        <references count="2">
          <reference field="0" count="1" selected="0">
            <x v="71"/>
          </reference>
          <reference field="1" count="1">
            <x v="83"/>
          </reference>
        </references>
      </pivotArea>
    </format>
    <format dxfId="464">
      <pivotArea dataOnly="0" labelOnly="1" outline="0" fieldPosition="0">
        <references count="2">
          <reference field="0" count="1" selected="0">
            <x v="72"/>
          </reference>
          <reference field="1" count="1">
            <x v="5"/>
          </reference>
        </references>
      </pivotArea>
    </format>
    <format dxfId="463">
      <pivotArea dataOnly="0" labelOnly="1" outline="0" fieldPosition="0">
        <references count="2">
          <reference field="0" count="1" selected="0">
            <x v="73"/>
          </reference>
          <reference field="1" count="1">
            <x v="4"/>
          </reference>
        </references>
      </pivotArea>
    </format>
    <format dxfId="462">
      <pivotArea dataOnly="0" labelOnly="1" outline="0" fieldPosition="0">
        <references count="2">
          <reference field="0" count="1" selected="0">
            <x v="74"/>
          </reference>
          <reference field="1" count="1">
            <x v="201"/>
          </reference>
        </references>
      </pivotArea>
    </format>
    <format dxfId="461">
      <pivotArea dataOnly="0" labelOnly="1" outline="0" fieldPosition="0">
        <references count="2">
          <reference field="0" count="1" selected="0">
            <x v="75"/>
          </reference>
          <reference field="1" count="1">
            <x v="28"/>
          </reference>
        </references>
      </pivotArea>
    </format>
    <format dxfId="460">
      <pivotArea dataOnly="0" labelOnly="1" outline="0" fieldPosition="0">
        <references count="2">
          <reference field="0" count="1" selected="0">
            <x v="76"/>
          </reference>
          <reference field="1" count="1">
            <x v="136"/>
          </reference>
        </references>
      </pivotArea>
    </format>
    <format dxfId="459">
      <pivotArea dataOnly="0" labelOnly="1" outline="0" fieldPosition="0">
        <references count="2">
          <reference field="0" count="1" selected="0">
            <x v="77"/>
          </reference>
          <reference field="1" count="1">
            <x v="137"/>
          </reference>
        </references>
      </pivotArea>
    </format>
    <format dxfId="458">
      <pivotArea dataOnly="0" labelOnly="1" outline="0" fieldPosition="0">
        <references count="2">
          <reference field="0" count="1" selected="0">
            <x v="78"/>
          </reference>
          <reference field="1" count="1">
            <x v="213"/>
          </reference>
        </references>
      </pivotArea>
    </format>
    <format dxfId="457">
      <pivotArea dataOnly="0" labelOnly="1" outline="0" fieldPosition="0">
        <references count="2">
          <reference field="0" count="1" selected="0">
            <x v="79"/>
          </reference>
          <reference field="1" count="1">
            <x v="73"/>
          </reference>
        </references>
      </pivotArea>
    </format>
    <format dxfId="456">
      <pivotArea dataOnly="0" labelOnly="1" outline="0" fieldPosition="0">
        <references count="2">
          <reference field="0" count="1" selected="0">
            <x v="80"/>
          </reference>
          <reference field="1" count="1">
            <x v="197"/>
          </reference>
        </references>
      </pivotArea>
    </format>
    <format dxfId="455">
      <pivotArea dataOnly="0" labelOnly="1" outline="0" fieldPosition="0">
        <references count="2">
          <reference field="0" count="1" selected="0">
            <x v="81"/>
          </reference>
          <reference field="1" count="1">
            <x v="214"/>
          </reference>
        </references>
      </pivotArea>
    </format>
    <format dxfId="454">
      <pivotArea dataOnly="0" labelOnly="1" outline="0" fieldPosition="0">
        <references count="2">
          <reference field="0" count="1" selected="0">
            <x v="82"/>
          </reference>
          <reference field="1" count="1">
            <x v="6"/>
          </reference>
        </references>
      </pivotArea>
    </format>
    <format dxfId="453">
      <pivotArea dataOnly="0" labelOnly="1" outline="0" fieldPosition="0">
        <references count="2">
          <reference field="0" count="1" selected="0">
            <x v="83"/>
          </reference>
          <reference field="1" count="1">
            <x v="207"/>
          </reference>
        </references>
      </pivotArea>
    </format>
    <format dxfId="452">
      <pivotArea dataOnly="0" labelOnly="1" outline="0" fieldPosition="0">
        <references count="2">
          <reference field="0" count="1" selected="0">
            <x v="84"/>
          </reference>
          <reference field="1" count="1">
            <x v="149"/>
          </reference>
        </references>
      </pivotArea>
    </format>
    <format dxfId="451">
      <pivotArea dataOnly="0" labelOnly="1" outline="0" fieldPosition="0">
        <references count="2">
          <reference field="0" count="1" selected="0">
            <x v="85"/>
          </reference>
          <reference field="1" count="1">
            <x v="31"/>
          </reference>
        </references>
      </pivotArea>
    </format>
    <format dxfId="450">
      <pivotArea dataOnly="0" labelOnly="1" outline="0" fieldPosition="0">
        <references count="2">
          <reference field="0" count="1" selected="0">
            <x v="86"/>
          </reference>
          <reference field="1" count="1">
            <x v="84"/>
          </reference>
        </references>
      </pivotArea>
    </format>
    <format dxfId="449">
      <pivotArea dataOnly="0" labelOnly="1" outline="0" fieldPosition="0">
        <references count="2">
          <reference field="0" count="1" selected="0">
            <x v="87"/>
          </reference>
          <reference field="1" count="1">
            <x v="85"/>
          </reference>
        </references>
      </pivotArea>
    </format>
    <format dxfId="448">
      <pivotArea dataOnly="0" labelOnly="1" outline="0" fieldPosition="0">
        <references count="2">
          <reference field="0" count="1" selected="0">
            <x v="88"/>
          </reference>
          <reference field="1" count="1">
            <x v="74"/>
          </reference>
        </references>
      </pivotArea>
    </format>
    <format dxfId="447">
      <pivotArea dataOnly="0" labelOnly="1" outline="0" fieldPosition="0">
        <references count="2">
          <reference field="0" count="1" selected="0">
            <x v="89"/>
          </reference>
          <reference field="1" count="1">
            <x v="90"/>
          </reference>
        </references>
      </pivotArea>
    </format>
    <format dxfId="446">
      <pivotArea dataOnly="0" labelOnly="1" outline="0" fieldPosition="0">
        <references count="2">
          <reference field="0" count="1" selected="0">
            <x v="90"/>
          </reference>
          <reference field="1" count="1">
            <x v="9"/>
          </reference>
        </references>
      </pivotArea>
    </format>
    <format dxfId="445">
      <pivotArea dataOnly="0" labelOnly="1" outline="0" fieldPosition="0">
        <references count="2">
          <reference field="0" count="1" selected="0">
            <x v="91"/>
          </reference>
          <reference field="1" count="1">
            <x v="10"/>
          </reference>
        </references>
      </pivotArea>
    </format>
    <format dxfId="444">
      <pivotArea dataOnly="0" labelOnly="1" outline="0" fieldPosition="0">
        <references count="2">
          <reference field="0" count="1" selected="0">
            <x v="92"/>
          </reference>
          <reference field="1" count="1">
            <x v="208"/>
          </reference>
        </references>
      </pivotArea>
    </format>
    <format dxfId="443">
      <pivotArea dataOnly="0" labelOnly="1" outline="0" fieldPosition="0">
        <references count="2">
          <reference field="0" count="1" selected="0">
            <x v="93"/>
          </reference>
          <reference field="1" count="1">
            <x v="91"/>
          </reference>
        </references>
      </pivotArea>
    </format>
    <format dxfId="442">
      <pivotArea dataOnly="0" labelOnly="1" outline="0" fieldPosition="0">
        <references count="2">
          <reference field="0" count="1" selected="0">
            <x v="94"/>
          </reference>
          <reference field="1" count="1">
            <x v="174"/>
          </reference>
        </references>
      </pivotArea>
    </format>
    <format dxfId="441">
      <pivotArea dataOnly="0" labelOnly="1" outline="0" fieldPosition="0">
        <references count="2">
          <reference field="0" count="1" selected="0">
            <x v="95"/>
          </reference>
          <reference field="1" count="1">
            <x v="171"/>
          </reference>
        </references>
      </pivotArea>
    </format>
    <format dxfId="440">
      <pivotArea dataOnly="0" labelOnly="1" outline="0" fieldPosition="0">
        <references count="2">
          <reference field="0" count="1" selected="0">
            <x v="96"/>
          </reference>
          <reference field="1" count="1">
            <x v="170"/>
          </reference>
        </references>
      </pivotArea>
    </format>
    <format dxfId="439">
      <pivotArea dataOnly="0" labelOnly="1" outline="0" fieldPosition="0">
        <references count="2">
          <reference field="0" count="1" selected="0">
            <x v="97"/>
          </reference>
          <reference field="1" count="1">
            <x v="195"/>
          </reference>
        </references>
      </pivotArea>
    </format>
    <format dxfId="438">
      <pivotArea dataOnly="0" labelOnly="1" outline="0" fieldPosition="0">
        <references count="2">
          <reference field="0" count="1" selected="0">
            <x v="98"/>
          </reference>
          <reference field="1" count="1">
            <x v="36"/>
          </reference>
        </references>
      </pivotArea>
    </format>
    <format dxfId="437">
      <pivotArea dataOnly="0" labelOnly="1" outline="0" fieldPosition="0">
        <references count="2">
          <reference field="0" count="1" selected="0">
            <x v="99"/>
          </reference>
          <reference field="1" count="1">
            <x v="12"/>
          </reference>
        </references>
      </pivotArea>
    </format>
    <format dxfId="436">
      <pivotArea dataOnly="0" labelOnly="1" outline="0" fieldPosition="0">
        <references count="2">
          <reference field="0" count="1" selected="0">
            <x v="100"/>
          </reference>
          <reference field="1" count="1">
            <x v="38"/>
          </reference>
        </references>
      </pivotArea>
    </format>
    <format dxfId="435">
      <pivotArea dataOnly="0" labelOnly="1" outline="0" fieldPosition="0">
        <references count="2">
          <reference field="0" count="1" selected="0">
            <x v="101"/>
          </reference>
          <reference field="1" count="1">
            <x v="148"/>
          </reference>
        </references>
      </pivotArea>
    </format>
    <format dxfId="434">
      <pivotArea dataOnly="0" labelOnly="1" outline="0" fieldPosition="0">
        <references count="2">
          <reference field="0" count="1" selected="0">
            <x v="102"/>
          </reference>
          <reference field="1" count="1">
            <x v="194"/>
          </reference>
        </references>
      </pivotArea>
    </format>
    <format dxfId="433">
      <pivotArea dataOnly="0" labelOnly="1" outline="0" fieldPosition="0">
        <references count="2">
          <reference field="0" count="1" selected="0">
            <x v="103"/>
          </reference>
          <reference field="1" count="1">
            <x v="154"/>
          </reference>
        </references>
      </pivotArea>
    </format>
    <format dxfId="432">
      <pivotArea dataOnly="0" labelOnly="1" outline="0" fieldPosition="0">
        <references count="2">
          <reference field="0" count="1" selected="0">
            <x v="104"/>
          </reference>
          <reference field="1" count="1">
            <x v="103"/>
          </reference>
        </references>
      </pivotArea>
    </format>
    <format dxfId="431">
      <pivotArea dataOnly="0" labelOnly="1" outline="0" fieldPosition="0">
        <references count="2">
          <reference field="0" count="1" selected="0">
            <x v="105"/>
          </reference>
          <reference field="1" count="1">
            <x v="96"/>
          </reference>
        </references>
      </pivotArea>
    </format>
    <format dxfId="430">
      <pivotArea dataOnly="0" labelOnly="1" outline="0" fieldPosition="0">
        <references count="2">
          <reference field="0" count="1" selected="0">
            <x v="106"/>
          </reference>
          <reference field="1" count="1">
            <x v="141"/>
          </reference>
        </references>
      </pivotArea>
    </format>
    <format dxfId="429">
      <pivotArea dataOnly="0" labelOnly="1" outline="0" fieldPosition="0">
        <references count="2">
          <reference field="0" count="1" selected="0">
            <x v="107"/>
          </reference>
          <reference field="1" count="1">
            <x v="86"/>
          </reference>
        </references>
      </pivotArea>
    </format>
    <format dxfId="428">
      <pivotArea dataOnly="0" labelOnly="1" outline="0" fieldPosition="0">
        <references count="2">
          <reference field="0" count="1" selected="0">
            <x v="108"/>
          </reference>
          <reference field="1" count="1">
            <x v="40"/>
          </reference>
        </references>
      </pivotArea>
    </format>
    <format dxfId="427">
      <pivotArea dataOnly="0" labelOnly="1" outline="0" fieldPosition="0">
        <references count="2">
          <reference field="0" count="1" selected="0">
            <x v="109"/>
          </reference>
          <reference field="1" count="1">
            <x v="33"/>
          </reference>
        </references>
      </pivotArea>
    </format>
    <format dxfId="426">
      <pivotArea dataOnly="0" labelOnly="1" outline="0" fieldPosition="0">
        <references count="2">
          <reference field="0" count="1" selected="0">
            <x v="110"/>
          </reference>
          <reference field="1" count="1">
            <x v="17"/>
          </reference>
        </references>
      </pivotArea>
    </format>
    <format dxfId="425">
      <pivotArea dataOnly="0" labelOnly="1" outline="0" fieldPosition="0">
        <references count="2">
          <reference field="0" count="1" selected="0">
            <x v="111"/>
          </reference>
          <reference field="1" count="1">
            <x v="112"/>
          </reference>
        </references>
      </pivotArea>
    </format>
    <format dxfId="424">
      <pivotArea dataOnly="0" labelOnly="1" outline="0" fieldPosition="0">
        <references count="2">
          <reference field="0" count="1" selected="0">
            <x v="112"/>
          </reference>
          <reference field="1" count="1">
            <x v="14"/>
          </reference>
        </references>
      </pivotArea>
    </format>
    <format dxfId="423">
      <pivotArea dataOnly="0" labelOnly="1" outline="0" fieldPosition="0">
        <references count="2">
          <reference field="0" count="1" selected="0">
            <x v="113"/>
          </reference>
          <reference field="1" count="1">
            <x v="151"/>
          </reference>
        </references>
      </pivotArea>
    </format>
    <format dxfId="422">
      <pivotArea dataOnly="0" labelOnly="1" outline="0" fieldPosition="0">
        <references count="2">
          <reference field="0" count="1" selected="0">
            <x v="114"/>
          </reference>
          <reference field="1" count="1">
            <x v="138"/>
          </reference>
        </references>
      </pivotArea>
    </format>
    <format dxfId="421">
      <pivotArea dataOnly="0" labelOnly="1" outline="0" fieldPosition="0">
        <references count="2">
          <reference field="0" count="1" selected="0">
            <x v="115"/>
          </reference>
          <reference field="1" count="1">
            <x v="44"/>
          </reference>
        </references>
      </pivotArea>
    </format>
    <format dxfId="420">
      <pivotArea dataOnly="0" labelOnly="1" outline="0" fieldPosition="0">
        <references count="2">
          <reference field="0" count="1" selected="0">
            <x v="116"/>
          </reference>
          <reference field="1" count="1">
            <x v="111"/>
          </reference>
        </references>
      </pivotArea>
    </format>
    <format dxfId="419">
      <pivotArea dataOnly="0" labelOnly="1" outline="0" fieldPosition="0">
        <references count="2">
          <reference field="0" count="1" selected="0">
            <x v="117"/>
          </reference>
          <reference field="1" count="1">
            <x v="77"/>
          </reference>
        </references>
      </pivotArea>
    </format>
    <format dxfId="418">
      <pivotArea dataOnly="0" labelOnly="1" outline="0" fieldPosition="0">
        <references count="2">
          <reference field="0" count="1" selected="0">
            <x v="118"/>
          </reference>
          <reference field="1" count="1">
            <x v="21"/>
          </reference>
        </references>
      </pivotArea>
    </format>
    <format dxfId="417">
      <pivotArea dataOnly="0" labelOnly="1" outline="0" fieldPosition="0">
        <references count="2">
          <reference field="0" count="1" selected="0">
            <x v="119"/>
          </reference>
          <reference field="1" count="1">
            <x v="200"/>
          </reference>
        </references>
      </pivotArea>
    </format>
    <format dxfId="416">
      <pivotArea dataOnly="0" labelOnly="1" outline="0" fieldPosition="0">
        <references count="2">
          <reference field="0" count="1" selected="0">
            <x v="120"/>
          </reference>
          <reference field="1" count="1">
            <x v="114"/>
          </reference>
        </references>
      </pivotArea>
    </format>
    <format dxfId="415">
      <pivotArea dataOnly="0" labelOnly="1" outline="0" fieldPosition="0">
        <references count="2">
          <reference field="0" count="1" selected="0">
            <x v="121"/>
          </reference>
          <reference field="1" count="1">
            <x v="102"/>
          </reference>
        </references>
      </pivotArea>
    </format>
    <format dxfId="414">
      <pivotArea dataOnly="0" labelOnly="1" outline="0" fieldPosition="0">
        <references count="2">
          <reference field="0" count="1" selected="0">
            <x v="122"/>
          </reference>
          <reference field="1" count="1">
            <x v="209"/>
          </reference>
        </references>
      </pivotArea>
    </format>
    <format dxfId="413">
      <pivotArea dataOnly="0" labelOnly="1" outline="0" fieldPosition="0">
        <references count="2">
          <reference field="0" count="1" selected="0">
            <x v="123"/>
          </reference>
          <reference field="1" count="1">
            <x v="23"/>
          </reference>
        </references>
      </pivotArea>
    </format>
    <format dxfId="412">
      <pivotArea dataOnly="0" labelOnly="1" outline="0" fieldPosition="0">
        <references count="2">
          <reference field="0" count="1" selected="0">
            <x v="124"/>
          </reference>
          <reference field="1" count="1">
            <x v="75"/>
          </reference>
        </references>
      </pivotArea>
    </format>
    <format dxfId="411">
      <pivotArea dataOnly="0" labelOnly="1" outline="0" fieldPosition="0">
        <references count="2">
          <reference field="0" count="1" selected="0">
            <x v="125"/>
          </reference>
          <reference field="1" count="1">
            <x v="13"/>
          </reference>
        </references>
      </pivotArea>
    </format>
    <format dxfId="410">
      <pivotArea dataOnly="0" labelOnly="1" outline="0" fieldPosition="0">
        <references count="2">
          <reference field="0" count="1" selected="0">
            <x v="126"/>
          </reference>
          <reference field="1" count="1">
            <x v="143"/>
          </reference>
        </references>
      </pivotArea>
    </format>
    <format dxfId="409">
      <pivotArea dataOnly="0" labelOnly="1" outline="0" fieldPosition="0">
        <references count="2">
          <reference field="0" count="1" selected="0">
            <x v="127"/>
          </reference>
          <reference field="1" count="1">
            <x v="93"/>
          </reference>
        </references>
      </pivotArea>
    </format>
    <format dxfId="408">
      <pivotArea dataOnly="0" labelOnly="1" outline="0" fieldPosition="0">
        <references count="2">
          <reference field="0" count="1" selected="0">
            <x v="128"/>
          </reference>
          <reference field="1" count="1">
            <x v="196"/>
          </reference>
        </references>
      </pivotArea>
    </format>
    <format dxfId="407">
      <pivotArea dataOnly="0" labelOnly="1" outline="0" fieldPosition="0">
        <references count="2">
          <reference field="0" count="1" selected="0">
            <x v="129"/>
          </reference>
          <reference field="1" count="1">
            <x v="16"/>
          </reference>
        </references>
      </pivotArea>
    </format>
    <format dxfId="406">
      <pivotArea dataOnly="0" labelOnly="1" outline="0" fieldPosition="0">
        <references count="2">
          <reference field="0" count="1" selected="0">
            <x v="130"/>
          </reference>
          <reference field="1" count="1">
            <x v="147"/>
          </reference>
        </references>
      </pivotArea>
    </format>
    <format dxfId="405">
      <pivotArea dataOnly="0" labelOnly="1" outline="0" fieldPosition="0">
        <references count="2">
          <reference field="0" count="1" selected="0">
            <x v="131"/>
          </reference>
          <reference field="1" count="1">
            <x v="212"/>
          </reference>
        </references>
      </pivotArea>
    </format>
    <format dxfId="404">
      <pivotArea dataOnly="0" labelOnly="1" outline="0" fieldPosition="0">
        <references count="2">
          <reference field="0" count="1" selected="0">
            <x v="132"/>
          </reference>
          <reference field="1" count="1">
            <x v="101"/>
          </reference>
        </references>
      </pivotArea>
    </format>
    <format dxfId="403">
      <pivotArea dataOnly="0" labelOnly="1" outline="0" fieldPosition="0">
        <references count="2">
          <reference field="0" count="1" selected="0">
            <x v="133"/>
          </reference>
          <reference field="1" count="1">
            <x v="39"/>
          </reference>
        </references>
      </pivotArea>
    </format>
    <format dxfId="402">
      <pivotArea dataOnly="0" labelOnly="1" outline="0" fieldPosition="0">
        <references count="2">
          <reference field="0" count="1" selected="0">
            <x v="134"/>
          </reference>
          <reference field="1" count="1">
            <x v="67"/>
          </reference>
        </references>
      </pivotArea>
    </format>
    <format dxfId="401">
      <pivotArea dataOnly="0" labelOnly="1" outline="0" fieldPosition="0">
        <references count="2">
          <reference field="0" count="1" selected="0">
            <x v="135"/>
          </reference>
          <reference field="1" count="1">
            <x v="120"/>
          </reference>
        </references>
      </pivotArea>
    </format>
    <format dxfId="400">
      <pivotArea dataOnly="0" labelOnly="1" outline="0" fieldPosition="0">
        <references count="2">
          <reference field="0" count="1" selected="0">
            <x v="136"/>
          </reference>
          <reference field="1" count="1">
            <x v="203"/>
          </reference>
        </references>
      </pivotArea>
    </format>
    <format dxfId="399">
      <pivotArea dataOnly="0" labelOnly="1" outline="0" fieldPosition="0">
        <references count="2">
          <reference field="0" count="1" selected="0">
            <x v="137"/>
          </reference>
          <reference field="1" count="1">
            <x v="178"/>
          </reference>
        </references>
      </pivotArea>
    </format>
    <format dxfId="398">
      <pivotArea dataOnly="0" labelOnly="1" outline="0" fieldPosition="0">
        <references count="2">
          <reference field="0" count="1" selected="0">
            <x v="138"/>
          </reference>
          <reference field="1" count="1">
            <x v="106"/>
          </reference>
        </references>
      </pivotArea>
    </format>
    <format dxfId="397">
      <pivotArea dataOnly="0" labelOnly="1" outline="0" fieldPosition="0">
        <references count="2">
          <reference field="0" count="1" selected="0">
            <x v="139"/>
          </reference>
          <reference field="1" count="1">
            <x v="107"/>
          </reference>
        </references>
      </pivotArea>
    </format>
    <format dxfId="396">
      <pivotArea dataOnly="0" labelOnly="1" outline="0" fieldPosition="0">
        <references count="2">
          <reference field="0" count="1" selected="0">
            <x v="140"/>
          </reference>
          <reference field="1" count="1">
            <x v="105"/>
          </reference>
        </references>
      </pivotArea>
    </format>
    <format dxfId="395">
      <pivotArea dataOnly="0" labelOnly="1" outline="0" fieldPosition="0">
        <references count="2">
          <reference field="0" count="1" selected="0">
            <x v="141"/>
          </reference>
          <reference field="1" count="1">
            <x v="48"/>
          </reference>
        </references>
      </pivotArea>
    </format>
    <format dxfId="394">
      <pivotArea dataOnly="0" labelOnly="1" outline="0" fieldPosition="0">
        <references count="2">
          <reference field="0" count="1" selected="0">
            <x v="142"/>
          </reference>
          <reference field="1" count="1">
            <x v="46"/>
          </reference>
        </references>
      </pivotArea>
    </format>
    <format dxfId="393">
      <pivotArea dataOnly="0" labelOnly="1" outline="0" fieldPosition="0">
        <references count="2">
          <reference field="0" count="1" selected="0">
            <x v="143"/>
          </reference>
          <reference field="1" count="1">
            <x v="47"/>
          </reference>
        </references>
      </pivotArea>
    </format>
    <format dxfId="392">
      <pivotArea dataOnly="0" labelOnly="1" outline="0" fieldPosition="0">
        <references count="2">
          <reference field="0" count="1" selected="0">
            <x v="144"/>
          </reference>
          <reference field="1" count="1">
            <x v="52"/>
          </reference>
        </references>
      </pivotArea>
    </format>
    <format dxfId="391">
      <pivotArea dataOnly="0" labelOnly="1" outline="0" fieldPosition="0">
        <references count="2">
          <reference field="0" count="1" selected="0">
            <x v="145"/>
          </reference>
          <reference field="1" count="1">
            <x v="59"/>
          </reference>
        </references>
      </pivotArea>
    </format>
    <format dxfId="390">
      <pivotArea dataOnly="0" labelOnly="1" outline="0" fieldPosition="0">
        <references count="2">
          <reference field="0" count="1" selected="0">
            <x v="146"/>
          </reference>
          <reference field="1" count="1">
            <x v="64"/>
          </reference>
        </references>
      </pivotArea>
    </format>
    <format dxfId="389">
      <pivotArea dataOnly="0" labelOnly="1" outline="0" fieldPosition="0">
        <references count="2">
          <reference field="0" count="1" selected="0">
            <x v="147"/>
          </reference>
          <reference field="1" count="1">
            <x v="56"/>
          </reference>
        </references>
      </pivotArea>
    </format>
    <format dxfId="388">
      <pivotArea dataOnly="0" labelOnly="1" outline="0" fieldPosition="0">
        <references count="2">
          <reference field="0" count="1" selected="0">
            <x v="148"/>
          </reference>
          <reference field="1" count="1">
            <x v="63"/>
          </reference>
        </references>
      </pivotArea>
    </format>
    <format dxfId="387">
      <pivotArea dataOnly="0" labelOnly="1" outline="0" fieldPosition="0">
        <references count="2">
          <reference field="0" count="1" selected="0">
            <x v="149"/>
          </reference>
          <reference field="1" count="1">
            <x v="62"/>
          </reference>
        </references>
      </pivotArea>
    </format>
    <format dxfId="386">
      <pivotArea dataOnly="0" labelOnly="1" outline="0" fieldPosition="0">
        <references count="2">
          <reference field="0" count="1" selected="0">
            <x v="150"/>
          </reference>
          <reference field="1" count="1">
            <x v="55"/>
          </reference>
        </references>
      </pivotArea>
    </format>
    <format dxfId="385">
      <pivotArea dataOnly="0" labelOnly="1" outline="0" fieldPosition="0">
        <references count="2">
          <reference field="0" count="1" selected="0">
            <x v="151"/>
          </reference>
          <reference field="1" count="1">
            <x v="57"/>
          </reference>
        </references>
      </pivotArea>
    </format>
    <format dxfId="384">
      <pivotArea dataOnly="0" labelOnly="1" outline="0" fieldPosition="0">
        <references count="2">
          <reference field="0" count="1" selected="0">
            <x v="152"/>
          </reference>
          <reference field="1" count="1">
            <x v="54"/>
          </reference>
        </references>
      </pivotArea>
    </format>
    <format dxfId="383">
      <pivotArea dataOnly="0" labelOnly="1" outline="0" fieldPosition="0">
        <references count="2">
          <reference field="0" count="1" selected="0">
            <x v="153"/>
          </reference>
          <reference field="1" count="1">
            <x v="53"/>
          </reference>
        </references>
      </pivotArea>
    </format>
    <format dxfId="382">
      <pivotArea dataOnly="0" labelOnly="1" outline="0" fieldPosition="0">
        <references count="2">
          <reference field="0" count="1" selected="0">
            <x v="154"/>
          </reference>
          <reference field="1" count="1">
            <x v="61"/>
          </reference>
        </references>
      </pivotArea>
    </format>
    <format dxfId="381">
      <pivotArea dataOnly="0" labelOnly="1" outline="0" fieldPosition="0">
        <references count="2">
          <reference field="0" count="1" selected="0">
            <x v="155"/>
          </reference>
          <reference field="1" count="1">
            <x v="58"/>
          </reference>
        </references>
      </pivotArea>
    </format>
    <format dxfId="380">
      <pivotArea dataOnly="0" labelOnly="1" outline="0" fieldPosition="0">
        <references count="2">
          <reference field="0" count="1" selected="0">
            <x v="156"/>
          </reference>
          <reference field="1" count="1">
            <x v="60"/>
          </reference>
        </references>
      </pivotArea>
    </format>
    <format dxfId="379">
      <pivotArea dataOnly="0" labelOnly="1" outline="0" fieldPosition="0">
        <references count="2">
          <reference field="0" count="1" selected="0">
            <x v="157"/>
          </reference>
          <reference field="1" count="1">
            <x v="51"/>
          </reference>
        </references>
      </pivotArea>
    </format>
    <format dxfId="378">
      <pivotArea dataOnly="0" labelOnly="1" outline="0" fieldPosition="0">
        <references count="2">
          <reference field="0" count="1" selected="0">
            <x v="158"/>
          </reference>
          <reference field="1" count="1">
            <x v="49"/>
          </reference>
        </references>
      </pivotArea>
    </format>
    <format dxfId="377">
      <pivotArea dataOnly="0" labelOnly="1" outline="0" fieldPosition="0">
        <references count="2">
          <reference field="0" count="1" selected="0">
            <x v="159"/>
          </reference>
          <reference field="1" count="1">
            <x v="50"/>
          </reference>
        </references>
      </pivotArea>
    </format>
    <format dxfId="376">
      <pivotArea dataOnly="0" labelOnly="1" outline="0" fieldPosition="0">
        <references count="2">
          <reference field="0" count="1" selected="0">
            <x v="160"/>
          </reference>
          <reference field="1" count="1">
            <x v="65"/>
          </reference>
        </references>
      </pivotArea>
    </format>
    <format dxfId="375">
      <pivotArea dataOnly="0" labelOnly="1" outline="0" fieldPosition="0">
        <references count="2">
          <reference field="0" count="1" selected="0">
            <x v="161"/>
          </reference>
          <reference field="1" count="1">
            <x v="41"/>
          </reference>
        </references>
      </pivotArea>
    </format>
    <format dxfId="374">
      <pivotArea dataOnly="0" labelOnly="1" outline="0" fieldPosition="0">
        <references count="2">
          <reference field="0" count="1" selected="0">
            <x v="162"/>
          </reference>
          <reference field="1" count="1">
            <x v="43"/>
          </reference>
        </references>
      </pivotArea>
    </format>
    <format dxfId="373">
      <pivotArea dataOnly="0" labelOnly="1" outline="0" fieldPosition="0">
        <references count="2">
          <reference field="0" count="1" selected="0">
            <x v="163"/>
          </reference>
          <reference field="1" count="1">
            <x v="42"/>
          </reference>
        </references>
      </pivotArea>
    </format>
    <format dxfId="372">
      <pivotArea dataOnly="0" labelOnly="1" outline="0" fieldPosition="0">
        <references count="2">
          <reference field="0" count="1" selected="0">
            <x v="164"/>
          </reference>
          <reference field="1" count="1">
            <x v="100"/>
          </reference>
        </references>
      </pivotArea>
    </format>
    <format dxfId="371">
      <pivotArea dataOnly="0" labelOnly="1" outline="0" fieldPosition="0">
        <references count="2">
          <reference field="0" count="1" selected="0">
            <x v="165"/>
          </reference>
          <reference field="1" count="1">
            <x v="129"/>
          </reference>
        </references>
      </pivotArea>
    </format>
    <format dxfId="370">
      <pivotArea dataOnly="0" labelOnly="1" outline="0" fieldPosition="0">
        <references count="2">
          <reference field="0" count="1" selected="0">
            <x v="166"/>
          </reference>
          <reference field="1" count="1">
            <x v="7"/>
          </reference>
        </references>
      </pivotArea>
    </format>
    <format dxfId="369">
      <pivotArea dataOnly="0" labelOnly="1" outline="0" fieldPosition="0">
        <references count="2">
          <reference field="0" count="1" selected="0">
            <x v="167"/>
          </reference>
          <reference field="1" count="1">
            <x v="8"/>
          </reference>
        </references>
      </pivotArea>
    </format>
    <format dxfId="368">
      <pivotArea dataOnly="0" labelOnly="1" outline="0" fieldPosition="0">
        <references count="2">
          <reference field="0" count="1" selected="0">
            <x v="168"/>
          </reference>
          <reference field="1" count="1">
            <x v="94"/>
          </reference>
        </references>
      </pivotArea>
    </format>
    <format dxfId="367">
      <pivotArea dataOnly="0" labelOnly="1" outline="0" fieldPosition="0">
        <references count="2">
          <reference field="0" count="1" selected="0">
            <x v="169"/>
          </reference>
          <reference field="1" count="1">
            <x v="69"/>
          </reference>
        </references>
      </pivotArea>
    </format>
    <format dxfId="366">
      <pivotArea dataOnly="0" labelOnly="1" outline="0" fieldPosition="0">
        <references count="2">
          <reference field="0" count="1" selected="0">
            <x v="170"/>
          </reference>
          <reference field="1" count="1">
            <x v="68"/>
          </reference>
        </references>
      </pivotArea>
    </format>
    <format dxfId="365">
      <pivotArea dataOnly="0" labelOnly="1" outline="0" fieldPosition="0">
        <references count="2">
          <reference field="0" count="1" selected="0">
            <x v="171"/>
          </reference>
          <reference field="1" count="1">
            <x v="34"/>
          </reference>
        </references>
      </pivotArea>
    </format>
    <format dxfId="364">
      <pivotArea dataOnly="0" labelOnly="1" outline="0" fieldPosition="0">
        <references count="2">
          <reference field="0" count="1" selected="0">
            <x v="172"/>
          </reference>
          <reference field="1" count="1">
            <x v="35"/>
          </reference>
        </references>
      </pivotArea>
    </format>
    <format dxfId="363">
      <pivotArea dataOnly="0" labelOnly="1" outline="0" fieldPosition="0">
        <references count="2">
          <reference field="0" count="1" selected="0">
            <x v="173"/>
          </reference>
          <reference field="1" count="1">
            <x v="18"/>
          </reference>
        </references>
      </pivotArea>
    </format>
    <format dxfId="362">
      <pivotArea dataOnly="0" labelOnly="1" outline="0" fieldPosition="0">
        <references count="2">
          <reference field="0" count="1" selected="0">
            <x v="174"/>
          </reference>
          <reference field="1" count="1">
            <x v="156"/>
          </reference>
        </references>
      </pivotArea>
    </format>
    <format dxfId="361">
      <pivotArea dataOnly="0" labelOnly="1" outline="0" fieldPosition="0">
        <references count="2">
          <reference field="0" count="1" selected="0">
            <x v="175"/>
          </reference>
          <reference field="1" count="1">
            <x v="165"/>
          </reference>
        </references>
      </pivotArea>
    </format>
    <format dxfId="360">
      <pivotArea dataOnly="0" labelOnly="1" outline="0" fieldPosition="0">
        <references count="2">
          <reference field="0" count="1" selected="0">
            <x v="176"/>
          </reference>
          <reference field="1" count="1">
            <x v="159"/>
          </reference>
        </references>
      </pivotArea>
    </format>
    <format dxfId="359">
      <pivotArea dataOnly="0" labelOnly="1" outline="0" fieldPosition="0">
        <references count="2">
          <reference field="0" count="1" selected="0">
            <x v="177"/>
          </reference>
          <reference field="1" count="1">
            <x v="169"/>
          </reference>
        </references>
      </pivotArea>
    </format>
    <format dxfId="358">
      <pivotArea dataOnly="0" labelOnly="1" outline="0" fieldPosition="0">
        <references count="2">
          <reference field="0" count="1" selected="0">
            <x v="178"/>
          </reference>
          <reference field="1" count="1">
            <x v="167"/>
          </reference>
        </references>
      </pivotArea>
    </format>
    <format dxfId="357">
      <pivotArea dataOnly="0" labelOnly="1" outline="0" fieldPosition="0">
        <references count="2">
          <reference field="0" count="1" selected="0">
            <x v="179"/>
          </reference>
          <reference field="1" count="1">
            <x v="163"/>
          </reference>
        </references>
      </pivotArea>
    </format>
    <format dxfId="356">
      <pivotArea dataOnly="0" labelOnly="1" outline="0" fieldPosition="0">
        <references count="2">
          <reference field="0" count="1" selected="0">
            <x v="180"/>
          </reference>
          <reference field="1" count="1">
            <x v="168"/>
          </reference>
        </references>
      </pivotArea>
    </format>
    <format dxfId="355">
      <pivotArea dataOnly="0" labelOnly="1" outline="0" fieldPosition="0">
        <references count="2">
          <reference field="0" count="1" selected="0">
            <x v="181"/>
          </reference>
          <reference field="1" count="1">
            <x v="162"/>
          </reference>
        </references>
      </pivotArea>
    </format>
    <format dxfId="354">
      <pivotArea dataOnly="0" labelOnly="1" outline="0" fieldPosition="0">
        <references count="2">
          <reference field="0" count="1" selected="0">
            <x v="182"/>
          </reference>
          <reference field="1" count="1">
            <x v="157"/>
          </reference>
        </references>
      </pivotArea>
    </format>
    <format dxfId="353">
      <pivotArea dataOnly="0" labelOnly="1" outline="0" fieldPosition="0">
        <references count="2">
          <reference field="0" count="1" selected="0">
            <x v="184"/>
          </reference>
          <reference field="1" count="1">
            <x v="164"/>
          </reference>
        </references>
      </pivotArea>
    </format>
    <format dxfId="352">
      <pivotArea dataOnly="0" labelOnly="1" outline="0" fieldPosition="0">
        <references count="2">
          <reference field="0" count="1" selected="0">
            <x v="185"/>
          </reference>
          <reference field="1" count="1">
            <x v="166"/>
          </reference>
        </references>
      </pivotArea>
    </format>
    <format dxfId="351">
      <pivotArea dataOnly="0" labelOnly="1" outline="0" fieldPosition="0">
        <references count="2">
          <reference field="0" count="1" selected="0">
            <x v="186"/>
          </reference>
          <reference field="1" count="1">
            <x v="161"/>
          </reference>
        </references>
      </pivotArea>
    </format>
    <format dxfId="350">
      <pivotArea dataOnly="0" labelOnly="1" outline="0" fieldPosition="0">
        <references count="2">
          <reference field="0" count="1" selected="0">
            <x v="187"/>
          </reference>
          <reference field="1" count="1">
            <x v="160"/>
          </reference>
        </references>
      </pivotArea>
    </format>
    <format dxfId="349">
      <pivotArea dataOnly="0" labelOnly="1" outline="0" fieldPosition="0">
        <references count="2">
          <reference field="0" count="1" selected="0">
            <x v="188"/>
          </reference>
          <reference field="1" count="1">
            <x v="158"/>
          </reference>
        </references>
      </pivotArea>
    </format>
    <format dxfId="348">
      <pivotArea dataOnly="0" labelOnly="1" outline="0" fieldPosition="0">
        <references count="2">
          <reference field="0" count="1" selected="0">
            <x v="189"/>
          </reference>
          <reference field="1" count="1">
            <x v="131"/>
          </reference>
        </references>
      </pivotArea>
    </format>
    <format dxfId="347">
      <pivotArea dataOnly="0" labelOnly="1" outline="0" fieldPosition="0">
        <references count="2">
          <reference field="0" count="1" selected="0">
            <x v="190"/>
          </reference>
          <reference field="1" count="1">
            <x v="130"/>
          </reference>
        </references>
      </pivotArea>
    </format>
    <format dxfId="346">
      <pivotArea dataOnly="0" labelOnly="1" outline="0" fieldPosition="0">
        <references count="2">
          <reference field="0" count="1" selected="0">
            <x v="191"/>
          </reference>
          <reference field="1" count="1">
            <x v="132"/>
          </reference>
        </references>
      </pivotArea>
    </format>
    <format dxfId="345">
      <pivotArea dataOnly="0" labelOnly="1" outline="0" fieldPosition="0">
        <references count="2">
          <reference field="0" count="1" selected="0">
            <x v="192"/>
          </reference>
          <reference field="1" count="1">
            <x v="179"/>
          </reference>
        </references>
      </pivotArea>
    </format>
    <format dxfId="344">
      <pivotArea dataOnly="0" labelOnly="1" outline="0" fieldPosition="0">
        <references count="2">
          <reference field="0" count="1" selected="0">
            <x v="193"/>
          </reference>
          <reference field="1" count="1">
            <x v="188"/>
          </reference>
        </references>
      </pivotArea>
    </format>
    <format dxfId="343">
      <pivotArea dataOnly="0" labelOnly="1" outline="0" fieldPosition="0">
        <references count="2">
          <reference field="0" count="1" selected="0">
            <x v="194"/>
          </reference>
          <reference field="1" count="1">
            <x v="182"/>
          </reference>
        </references>
      </pivotArea>
    </format>
    <format dxfId="342">
      <pivotArea dataOnly="0" labelOnly="1" outline="0" fieldPosition="0">
        <references count="2">
          <reference field="0" count="1" selected="0">
            <x v="195"/>
          </reference>
          <reference field="1" count="1">
            <x v="191"/>
          </reference>
        </references>
      </pivotArea>
    </format>
    <format dxfId="341">
      <pivotArea dataOnly="0" labelOnly="1" outline="0" fieldPosition="0">
        <references count="2">
          <reference field="0" count="1" selected="0">
            <x v="196"/>
          </reference>
          <reference field="1" count="1">
            <x v="190"/>
          </reference>
        </references>
      </pivotArea>
    </format>
    <format dxfId="340">
      <pivotArea dataOnly="0" labelOnly="1" outline="0" fieldPosition="0">
        <references count="2">
          <reference field="0" count="1" selected="0">
            <x v="197"/>
          </reference>
          <reference field="1" count="1">
            <x v="186"/>
          </reference>
        </references>
      </pivotArea>
    </format>
    <format dxfId="339">
      <pivotArea dataOnly="0" labelOnly="1" outline="0" fieldPosition="0">
        <references count="2">
          <reference field="0" count="1" selected="0">
            <x v="199"/>
          </reference>
          <reference field="1" count="1">
            <x v="185"/>
          </reference>
        </references>
      </pivotArea>
    </format>
    <format dxfId="338">
      <pivotArea dataOnly="0" labelOnly="1" outline="0" fieldPosition="0">
        <references count="2">
          <reference field="0" count="1" selected="0">
            <x v="200"/>
          </reference>
          <reference field="1" count="1">
            <x v="187"/>
          </reference>
        </references>
      </pivotArea>
    </format>
    <format dxfId="337">
      <pivotArea dataOnly="0" labelOnly="1" outline="0" fieldPosition="0">
        <references count="2">
          <reference field="0" count="1" selected="0">
            <x v="201"/>
          </reference>
          <reference field="1" count="1">
            <x v="189"/>
          </reference>
        </references>
      </pivotArea>
    </format>
    <format dxfId="336">
      <pivotArea dataOnly="0" labelOnly="1" outline="0" fieldPosition="0">
        <references count="2">
          <reference field="0" count="1" selected="0">
            <x v="202"/>
          </reference>
          <reference field="1" count="1">
            <x v="180"/>
          </reference>
        </references>
      </pivotArea>
    </format>
    <format dxfId="335">
      <pivotArea dataOnly="0" labelOnly="1" outline="0" fieldPosition="0">
        <references count="2">
          <reference field="0" count="1" selected="0">
            <x v="203"/>
          </reference>
          <reference field="1" count="1">
            <x v="184"/>
          </reference>
        </references>
      </pivotArea>
    </format>
    <format dxfId="334">
      <pivotArea dataOnly="0" labelOnly="1" outline="0" fieldPosition="0">
        <references count="2">
          <reference field="0" count="1" selected="0">
            <x v="204"/>
          </reference>
          <reference field="1" count="1">
            <x v="183"/>
          </reference>
        </references>
      </pivotArea>
    </format>
    <format dxfId="333">
      <pivotArea dataOnly="0" labelOnly="1" outline="0" fieldPosition="0">
        <references count="2">
          <reference field="0" count="1" selected="0">
            <x v="205"/>
          </reference>
          <reference field="1" count="1">
            <x v="192"/>
          </reference>
        </references>
      </pivotArea>
    </format>
    <format dxfId="332">
      <pivotArea dataOnly="0" labelOnly="1" outline="0" fieldPosition="0">
        <references count="2">
          <reference field="0" count="1" selected="0">
            <x v="206"/>
          </reference>
          <reference field="1" count="1">
            <x v="181"/>
          </reference>
        </references>
      </pivotArea>
    </format>
    <format dxfId="331">
      <pivotArea dataOnly="0" labelOnly="1" outline="0" fieldPosition="0">
        <references count="2">
          <reference field="0" count="1" selected="0">
            <x v="207"/>
          </reference>
          <reference field="1" count="1">
            <x v="193"/>
          </reference>
        </references>
      </pivotArea>
    </format>
    <format dxfId="330">
      <pivotArea dataOnly="0" labelOnly="1" outline="0" fieldPosition="0">
        <references count="2">
          <reference field="0" count="1" selected="0">
            <x v="208"/>
          </reference>
          <reference field="1" count="13">
            <x v="1"/>
            <x v="2"/>
            <x v="3"/>
            <x v="80"/>
            <x v="122"/>
            <x v="123"/>
            <x v="135"/>
            <x v="139"/>
            <x v="145"/>
            <x v="146"/>
            <x v="202"/>
            <x v="206"/>
            <x v="215"/>
          </reference>
        </references>
      </pivotArea>
    </format>
    <format dxfId="329">
      <pivotArea dataOnly="0" labelOnly="1" outline="0" fieldPosition="0">
        <references count="1">
          <reference field="4294967294" count="5">
            <x v="0"/>
            <x v="1"/>
            <x v="2"/>
            <x v="4"/>
            <x v="5"/>
          </reference>
        </references>
      </pivotArea>
    </format>
    <format dxfId="328">
      <pivotArea outline="0" fieldPosition="0">
        <references count="3">
          <reference field="4294967294" count="1" selected="0">
            <x v="4"/>
          </reference>
          <reference field="0" count="9" selected="0">
            <x v="139"/>
            <x v="144"/>
            <x v="175"/>
            <x v="182"/>
            <x v="188"/>
            <x v="189"/>
            <x v="190"/>
            <x v="193"/>
            <x v="202"/>
          </reference>
          <reference field="1" count="9" selected="0">
            <x v="52"/>
            <x v="107"/>
            <x v="130"/>
            <x v="131"/>
            <x v="157"/>
            <x v="158"/>
            <x v="165"/>
            <x v="180"/>
            <x v="188"/>
          </reference>
        </references>
      </pivotArea>
    </format>
    <format dxfId="327">
      <pivotArea field="0" type="button" dataOnly="0" labelOnly="1" outline="0" axis="axisRow" fieldPosition="0"/>
    </format>
    <format dxfId="326">
      <pivotArea field="1" type="button" dataOnly="0" labelOnly="1" outline="0" axis="axisRow" fieldPosition="1"/>
    </format>
    <format dxfId="325">
      <pivotArea dataOnly="0" labelOnly="1" outline="0" fieldPosition="0">
        <references count="1">
          <reference field="4294967294" count="1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</reference>
        </references>
      </pivotArea>
    </format>
    <format dxfId="324">
      <pivotArea type="all" dataOnly="0" outline="0" fieldPosition="0"/>
    </format>
    <format dxfId="323">
      <pivotArea outline="0" collapsedLevelsAreSubtotals="1" fieldPosition="0"/>
    </format>
    <format dxfId="322">
      <pivotArea type="origin" dataOnly="0" labelOnly="1" outline="0" fieldPosition="0"/>
    </format>
    <format dxfId="321">
      <pivotArea field="-2" type="button" dataOnly="0" labelOnly="1" outline="0" axis="axisCol" fieldPosition="0"/>
    </format>
    <format dxfId="320">
      <pivotArea type="topRight" dataOnly="0" labelOnly="1" outline="0" fieldPosition="0"/>
    </format>
    <format dxfId="319">
      <pivotArea field="0" type="button" dataOnly="0" labelOnly="1" outline="0" axis="axisRow" fieldPosition="0"/>
    </format>
    <format dxfId="318">
      <pivotArea field="1" type="button" dataOnly="0" labelOnly="1" outline="0" axis="axisRow" fieldPosition="1"/>
    </format>
    <format dxfId="317">
      <pivotArea dataOnly="0" labelOnly="1" outline="0" fieldPosition="0">
        <references count="1">
          <reference field="0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16">
      <pivotArea dataOnly="0" labelOnly="1" outline="0" fieldPosition="0">
        <references count="1">
          <reference field="0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15">
      <pivotArea dataOnly="0" labelOnly="1" outline="0" fieldPosition="0">
        <references count="1">
          <reference field="0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14">
      <pivotArea dataOnly="0" labelOnly="1" outline="0" fieldPosition="0">
        <references count="1">
          <reference field="0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13">
      <pivotArea dataOnly="0" labelOnly="1" outline="0" fieldPosition="0">
        <references count="1">
          <reference field="0" count="9">
            <x v="200"/>
            <x v="201"/>
            <x v="202"/>
            <x v="203"/>
            <x v="204"/>
            <x v="205"/>
            <x v="206"/>
            <x v="207"/>
            <x v="208"/>
          </reference>
        </references>
      </pivotArea>
    </format>
    <format dxfId="312">
      <pivotArea dataOnly="0" labelOnly="1" grandRow="1" outline="0" fieldPosition="0"/>
    </format>
    <format dxfId="311">
      <pivotArea dataOnly="0" labelOnly="1" outline="0" fieldPosition="0">
        <references count="2">
          <reference field="0" count="1" selected="0">
            <x v="0"/>
          </reference>
          <reference field="1" count="1">
            <x v="139"/>
          </reference>
        </references>
      </pivotArea>
    </format>
    <format dxfId="310">
      <pivotArea dataOnly="0" labelOnly="1" outline="0" fieldPosition="0">
        <references count="2">
          <reference field="0" count="1" selected="0">
            <x v="1"/>
          </reference>
          <reference field="1" count="1">
            <x v="0"/>
          </reference>
        </references>
      </pivotArea>
    </format>
    <format dxfId="309">
      <pivotArea dataOnly="0" labelOnly="1" outline="0" fieldPosition="0">
        <references count="2">
          <reference field="0" count="1" selected="0">
            <x v="2"/>
          </reference>
          <reference field="1" count="1">
            <x v="144"/>
          </reference>
        </references>
      </pivotArea>
    </format>
    <format dxfId="308">
      <pivotArea dataOnly="0" labelOnly="1" outline="0" fieldPosition="0">
        <references count="2">
          <reference field="0" count="1" selected="0">
            <x v="3"/>
          </reference>
          <reference field="1" count="1">
            <x v="110"/>
          </reference>
        </references>
      </pivotArea>
    </format>
    <format dxfId="307">
      <pivotArea dataOnly="0" labelOnly="1" outline="0" fieldPosition="0">
        <references count="2">
          <reference field="0" count="1" selected="0">
            <x v="4"/>
          </reference>
          <reference field="1" count="1">
            <x v="133"/>
          </reference>
        </references>
      </pivotArea>
    </format>
    <format dxfId="306">
      <pivotArea dataOnly="0" labelOnly="1" outline="0" fieldPosition="0">
        <references count="2">
          <reference field="0" count="1" selected="0">
            <x v="5"/>
          </reference>
          <reference field="1" count="1">
            <x v="11"/>
          </reference>
        </references>
      </pivotArea>
    </format>
    <format dxfId="305">
      <pivotArea dataOnly="0" labelOnly="1" outline="0" fieldPosition="0">
        <references count="2">
          <reference field="0" count="1" selected="0">
            <x v="6"/>
          </reference>
          <reference field="1" count="1">
            <x v="81"/>
          </reference>
        </references>
      </pivotArea>
    </format>
    <format dxfId="304">
      <pivotArea dataOnly="0" labelOnly="1" outline="0" fieldPosition="0">
        <references count="2">
          <reference field="0" count="1" selected="0">
            <x v="7"/>
          </reference>
          <reference field="1" count="1">
            <x v="140"/>
          </reference>
        </references>
      </pivotArea>
    </format>
    <format dxfId="303">
      <pivotArea dataOnly="0" labelOnly="1" outline="0" fieldPosition="0">
        <references count="2">
          <reference field="0" count="1" selected="0">
            <x v="8"/>
          </reference>
          <reference field="1" count="1">
            <x v="30"/>
          </reference>
        </references>
      </pivotArea>
    </format>
    <format dxfId="302">
      <pivotArea dataOnly="0" labelOnly="1" outline="0" fieldPosition="0">
        <references count="2">
          <reference field="0" count="1" selected="0">
            <x v="9"/>
          </reference>
          <reference field="1" count="1">
            <x v="25"/>
          </reference>
        </references>
      </pivotArea>
    </format>
    <format dxfId="301">
      <pivotArea dataOnly="0" labelOnly="1" outline="0" fieldPosition="0">
        <references count="2">
          <reference field="0" count="1" selected="0">
            <x v="10"/>
          </reference>
          <reference field="1" count="1">
            <x v="152"/>
          </reference>
        </references>
      </pivotArea>
    </format>
    <format dxfId="300">
      <pivotArea dataOnly="0" labelOnly="1" outline="0" fieldPosition="0">
        <references count="2">
          <reference field="0" count="1" selected="0">
            <x v="11"/>
          </reference>
          <reference field="1" count="1">
            <x v="66"/>
          </reference>
        </references>
      </pivotArea>
    </format>
    <format dxfId="299">
      <pivotArea dataOnly="0" labelOnly="1" outline="0" fieldPosition="0">
        <references count="2">
          <reference field="0" count="1" selected="0">
            <x v="12"/>
          </reference>
          <reference field="1" count="1">
            <x v="26"/>
          </reference>
        </references>
      </pivotArea>
    </format>
    <format dxfId="298">
      <pivotArea dataOnly="0" labelOnly="1" outline="0" fieldPosition="0">
        <references count="2">
          <reference field="0" count="1" selected="0">
            <x v="13"/>
          </reference>
          <reference field="1" count="1">
            <x v="79"/>
          </reference>
        </references>
      </pivotArea>
    </format>
    <format dxfId="297">
      <pivotArea dataOnly="0" labelOnly="1" outline="0" fieldPosition="0">
        <references count="2">
          <reference field="0" count="1" selected="0">
            <x v="14"/>
          </reference>
          <reference field="1" count="1">
            <x v="205"/>
          </reference>
        </references>
      </pivotArea>
    </format>
    <format dxfId="296">
      <pivotArea dataOnly="0" labelOnly="1" outline="0" fieldPosition="0">
        <references count="2">
          <reference field="0" count="1" selected="0">
            <x v="15"/>
          </reference>
          <reference field="1" count="1">
            <x v="204"/>
          </reference>
        </references>
      </pivotArea>
    </format>
    <format dxfId="295">
      <pivotArea dataOnly="0" labelOnly="1" outline="0" fieldPosition="0">
        <references count="2">
          <reference field="0" count="1" selected="0">
            <x v="16"/>
          </reference>
          <reference field="1" count="1">
            <x v="204"/>
          </reference>
        </references>
      </pivotArea>
    </format>
    <format dxfId="294">
      <pivotArea dataOnly="0" labelOnly="1" outline="0" fieldPosition="0">
        <references count="2">
          <reference field="0" count="1" selected="0">
            <x v="17"/>
          </reference>
          <reference field="1" count="1">
            <x v="199"/>
          </reference>
        </references>
      </pivotArea>
    </format>
    <format dxfId="293">
      <pivotArea dataOnly="0" labelOnly="1" outline="0" fieldPosition="0">
        <references count="2">
          <reference field="0" count="1" selected="0">
            <x v="18"/>
          </reference>
          <reference field="1" count="1">
            <x v="20"/>
          </reference>
        </references>
      </pivotArea>
    </format>
    <format dxfId="292">
      <pivotArea dataOnly="0" labelOnly="1" outline="0" fieldPosition="0">
        <references count="2">
          <reference field="0" count="1" selected="0">
            <x v="19"/>
          </reference>
          <reference field="1" count="1">
            <x v="97"/>
          </reference>
        </references>
      </pivotArea>
    </format>
    <format dxfId="291">
      <pivotArea dataOnly="0" labelOnly="1" outline="0" fieldPosition="0">
        <references count="2">
          <reference field="0" count="1" selected="0">
            <x v="20"/>
          </reference>
          <reference field="1" count="1">
            <x v="210"/>
          </reference>
        </references>
      </pivotArea>
    </format>
    <format dxfId="290">
      <pivotArea dataOnly="0" labelOnly="1" outline="0" fieldPosition="0">
        <references count="2">
          <reference field="0" count="1" selected="0">
            <x v="21"/>
          </reference>
          <reference field="1" count="1">
            <x v="92"/>
          </reference>
        </references>
      </pivotArea>
    </format>
    <format dxfId="289">
      <pivotArea dataOnly="0" labelOnly="1" outline="0" fieldPosition="0">
        <references count="2">
          <reference field="0" count="1" selected="0">
            <x v="22"/>
          </reference>
          <reference field="1" count="1">
            <x v="89"/>
          </reference>
        </references>
      </pivotArea>
    </format>
    <format dxfId="288">
      <pivotArea dataOnly="0" labelOnly="1" outline="0" fieldPosition="0">
        <references count="2">
          <reference field="0" count="1" selected="0">
            <x v="23"/>
          </reference>
          <reference field="1" count="1">
            <x v="88"/>
          </reference>
        </references>
      </pivotArea>
    </format>
    <format dxfId="287">
      <pivotArea dataOnly="0" labelOnly="1" outline="0" fieldPosition="0">
        <references count="2">
          <reference field="0" count="1" selected="0">
            <x v="24"/>
          </reference>
          <reference field="1" count="1">
            <x v="24"/>
          </reference>
        </references>
      </pivotArea>
    </format>
    <format dxfId="286">
      <pivotArea dataOnly="0" labelOnly="1" outline="0" fieldPosition="0">
        <references count="2">
          <reference field="0" count="1" selected="0">
            <x v="25"/>
          </reference>
          <reference field="1" count="1">
            <x v="127"/>
          </reference>
        </references>
      </pivotArea>
    </format>
    <format dxfId="285">
      <pivotArea dataOnly="0" labelOnly="1" outline="0" fieldPosition="0">
        <references count="2">
          <reference field="0" count="1" selected="0">
            <x v="26"/>
          </reference>
          <reference field="1" count="1">
            <x v="126"/>
          </reference>
        </references>
      </pivotArea>
    </format>
    <format dxfId="284">
      <pivotArea dataOnly="0" labelOnly="1" outline="0" fieldPosition="0">
        <references count="2">
          <reference field="0" count="1" selected="0">
            <x v="27"/>
          </reference>
          <reference field="1" count="1">
            <x v="29"/>
          </reference>
        </references>
      </pivotArea>
    </format>
    <format dxfId="283">
      <pivotArea dataOnly="0" labelOnly="1" outline="0" fieldPosition="0">
        <references count="2">
          <reference field="0" count="1" selected="0">
            <x v="28"/>
          </reference>
          <reference field="1" count="1">
            <x v="121"/>
          </reference>
        </references>
      </pivotArea>
    </format>
    <format dxfId="282">
      <pivotArea dataOnly="0" labelOnly="1" outline="0" fieldPosition="0">
        <references count="2">
          <reference field="0" count="1" selected="0">
            <x v="29"/>
          </reference>
          <reference field="1" count="1">
            <x v="177"/>
          </reference>
        </references>
      </pivotArea>
    </format>
    <format dxfId="281">
      <pivotArea dataOnly="0" labelOnly="1" outline="0" fieldPosition="0">
        <references count="2">
          <reference field="0" count="1" selected="0">
            <x v="30"/>
          </reference>
          <reference field="1" count="1">
            <x v="71"/>
          </reference>
        </references>
      </pivotArea>
    </format>
    <format dxfId="280">
      <pivotArea dataOnly="0" labelOnly="1" outline="0" fieldPosition="0">
        <references count="2">
          <reference field="0" count="1" selected="0">
            <x v="31"/>
          </reference>
          <reference field="1" count="1">
            <x v="155"/>
          </reference>
        </references>
      </pivotArea>
    </format>
    <format dxfId="279">
      <pivotArea dataOnly="0" labelOnly="1" outline="0" fieldPosition="0">
        <references count="2">
          <reference field="0" count="1" selected="0">
            <x v="32"/>
          </reference>
          <reference field="1" count="1">
            <x v="113"/>
          </reference>
        </references>
      </pivotArea>
    </format>
    <format dxfId="278">
      <pivotArea dataOnly="0" labelOnly="1" outline="0" fieldPosition="0">
        <references count="2">
          <reference field="0" count="1" selected="0">
            <x v="33"/>
          </reference>
          <reference field="1" count="1">
            <x v="15"/>
          </reference>
        </references>
      </pivotArea>
    </format>
    <format dxfId="277">
      <pivotArea dataOnly="0" labelOnly="1" outline="0" fieldPosition="0">
        <references count="2">
          <reference field="0" count="1" selected="0">
            <x v="34"/>
          </reference>
          <reference field="1" count="1">
            <x v="72"/>
          </reference>
        </references>
      </pivotArea>
    </format>
    <format dxfId="276">
      <pivotArea dataOnly="0" labelOnly="1" outline="0" fieldPosition="0">
        <references count="2">
          <reference field="0" count="1" selected="0">
            <x v="35"/>
          </reference>
          <reference field="1" count="1">
            <x v="115"/>
          </reference>
        </references>
      </pivotArea>
    </format>
    <format dxfId="275">
      <pivotArea dataOnly="0" labelOnly="1" outline="0" fieldPosition="0">
        <references count="2">
          <reference field="0" count="1" selected="0">
            <x v="36"/>
          </reference>
          <reference field="1" count="1">
            <x v="119"/>
          </reference>
        </references>
      </pivotArea>
    </format>
    <format dxfId="274">
      <pivotArea dataOnly="0" labelOnly="1" outline="0" fieldPosition="0">
        <references count="2">
          <reference field="0" count="1" selected="0">
            <x v="37"/>
          </reference>
          <reference field="1" count="1">
            <x v="117"/>
          </reference>
        </references>
      </pivotArea>
    </format>
    <format dxfId="273">
      <pivotArea dataOnly="0" labelOnly="1" outline="0" fieldPosition="0">
        <references count="2">
          <reference field="0" count="1" selected="0">
            <x v="38"/>
          </reference>
          <reference field="1" count="1">
            <x v="118"/>
          </reference>
        </references>
      </pivotArea>
    </format>
    <format dxfId="272">
      <pivotArea dataOnly="0" labelOnly="1" outline="0" fieldPosition="0">
        <references count="2">
          <reference field="0" count="1" selected="0">
            <x v="39"/>
          </reference>
          <reference field="1" count="1">
            <x v="134"/>
          </reference>
        </references>
      </pivotArea>
    </format>
    <format dxfId="271">
      <pivotArea dataOnly="0" labelOnly="1" outline="0" fieldPosition="0">
        <references count="2">
          <reference field="0" count="1" selected="0">
            <x v="40"/>
          </reference>
          <reference field="1" count="1">
            <x v="70"/>
          </reference>
        </references>
      </pivotArea>
    </format>
    <format dxfId="270">
      <pivotArea dataOnly="0" labelOnly="1" outline="0" fieldPosition="0">
        <references count="2">
          <reference field="0" count="1" selected="0">
            <x v="41"/>
          </reference>
          <reference field="1" count="1">
            <x v="128"/>
          </reference>
        </references>
      </pivotArea>
    </format>
    <format dxfId="269">
      <pivotArea dataOnly="0" labelOnly="1" outline="0" fieldPosition="0">
        <references count="2">
          <reference field="0" count="1" selected="0">
            <x v="42"/>
          </reference>
          <reference field="1" count="1">
            <x v="109"/>
          </reference>
        </references>
      </pivotArea>
    </format>
    <format dxfId="268">
      <pivotArea dataOnly="0" labelOnly="1" outline="0" fieldPosition="0">
        <references count="2">
          <reference field="0" count="1" selected="0">
            <x v="43"/>
          </reference>
          <reference field="1" count="1">
            <x v="108"/>
          </reference>
        </references>
      </pivotArea>
    </format>
    <format dxfId="267">
      <pivotArea dataOnly="0" labelOnly="1" outline="0" fieldPosition="0">
        <references count="2">
          <reference field="0" count="1" selected="0">
            <x v="44"/>
          </reference>
          <reference field="1" count="1">
            <x v="153"/>
          </reference>
        </references>
      </pivotArea>
    </format>
    <format dxfId="266">
      <pivotArea dataOnly="0" labelOnly="1" outline="0" fieldPosition="0">
        <references count="2">
          <reference field="0" count="1" selected="0">
            <x v="45"/>
          </reference>
          <reference field="1" count="1">
            <x v="32"/>
          </reference>
        </references>
      </pivotArea>
    </format>
    <format dxfId="265">
      <pivotArea dataOnly="0" labelOnly="1" outline="0" fieldPosition="0">
        <references count="2">
          <reference field="0" count="1" selected="0">
            <x v="46"/>
          </reference>
          <reference field="1" count="1">
            <x v="116"/>
          </reference>
        </references>
      </pivotArea>
    </format>
    <format dxfId="264">
      <pivotArea dataOnly="0" labelOnly="1" outline="0" fieldPosition="0">
        <references count="2">
          <reference field="0" count="1" selected="0">
            <x v="47"/>
          </reference>
          <reference field="1" count="1">
            <x v="175"/>
          </reference>
        </references>
      </pivotArea>
    </format>
    <format dxfId="263">
      <pivotArea dataOnly="0" labelOnly="1" outline="0" fieldPosition="0">
        <references count="2">
          <reference field="0" count="1" selected="0">
            <x v="48"/>
          </reference>
          <reference field="1" count="1">
            <x v="176"/>
          </reference>
        </references>
      </pivotArea>
    </format>
    <format dxfId="262">
      <pivotArea dataOnly="0" labelOnly="1" outline="0" fieldPosition="0">
        <references count="2">
          <reference field="0" count="1" selected="0">
            <x v="49"/>
          </reference>
          <reference field="1" count="1">
            <x v="204"/>
          </reference>
        </references>
      </pivotArea>
    </format>
    <format dxfId="261">
      <pivotArea dataOnly="0" labelOnly="1" outline="0" fieldPosition="0">
        <references count="2">
          <reference field="0" count="1" selected="0">
            <x v="50"/>
          </reference>
          <reference field="1" count="1">
            <x v="45"/>
          </reference>
        </references>
      </pivotArea>
    </format>
    <format dxfId="260">
      <pivotArea dataOnly="0" labelOnly="1" outline="0" fieldPosition="0">
        <references count="2">
          <reference field="0" count="1" selected="0">
            <x v="51"/>
          </reference>
          <reference field="1" count="1">
            <x v="99"/>
          </reference>
        </references>
      </pivotArea>
    </format>
    <format dxfId="259">
      <pivotArea dataOnly="0" labelOnly="1" outline="0" fieldPosition="0">
        <references count="2">
          <reference field="0" count="1" selected="0">
            <x v="52"/>
          </reference>
          <reference field="1" count="1">
            <x v="98"/>
          </reference>
        </references>
      </pivotArea>
    </format>
    <format dxfId="258">
      <pivotArea dataOnly="0" labelOnly="1" outline="0" fieldPosition="0">
        <references count="2">
          <reference field="0" count="1" selected="0">
            <x v="53"/>
          </reference>
          <reference field="1" count="1">
            <x v="150"/>
          </reference>
        </references>
      </pivotArea>
    </format>
    <format dxfId="257">
      <pivotArea dataOnly="0" labelOnly="1" outline="0" fieldPosition="0">
        <references count="2">
          <reference field="0" count="1" selected="0">
            <x v="54"/>
          </reference>
          <reference field="1" count="1">
            <x v="125"/>
          </reference>
        </references>
      </pivotArea>
    </format>
    <format dxfId="256">
      <pivotArea dataOnly="0" labelOnly="1" outline="0" fieldPosition="0">
        <references count="2">
          <reference field="0" count="1" selected="0">
            <x v="55"/>
          </reference>
          <reference field="1" count="1">
            <x v="76"/>
          </reference>
        </references>
      </pivotArea>
    </format>
    <format dxfId="255">
      <pivotArea dataOnly="0" labelOnly="1" outline="0" fieldPosition="0">
        <references count="2">
          <reference field="0" count="1" selected="0">
            <x v="56"/>
          </reference>
          <reference field="1" count="1">
            <x v="211"/>
          </reference>
        </references>
      </pivotArea>
    </format>
    <format dxfId="254">
      <pivotArea dataOnly="0" labelOnly="1" outline="0" fieldPosition="0">
        <references count="2">
          <reference field="0" count="1" selected="0">
            <x v="57"/>
          </reference>
          <reference field="1" count="1">
            <x v="37"/>
          </reference>
        </references>
      </pivotArea>
    </format>
    <format dxfId="253">
      <pivotArea dataOnly="0" labelOnly="1" outline="0" fieldPosition="0">
        <references count="2">
          <reference field="0" count="1" selected="0">
            <x v="58"/>
          </reference>
          <reference field="1" count="1">
            <x v="104"/>
          </reference>
        </references>
      </pivotArea>
    </format>
    <format dxfId="252">
      <pivotArea dataOnly="0" labelOnly="1" outline="0" fieldPosition="0">
        <references count="2">
          <reference field="0" count="1" selected="0">
            <x v="59"/>
          </reference>
          <reference field="1" count="1">
            <x v="22"/>
          </reference>
        </references>
      </pivotArea>
    </format>
    <format dxfId="251">
      <pivotArea dataOnly="0" labelOnly="1" outline="0" fieldPosition="0">
        <references count="2">
          <reference field="0" count="1" selected="0">
            <x v="60"/>
          </reference>
          <reference field="1" count="1">
            <x v="87"/>
          </reference>
        </references>
      </pivotArea>
    </format>
    <format dxfId="250">
      <pivotArea dataOnly="0" labelOnly="1" outline="0" fieldPosition="0">
        <references count="2">
          <reference field="0" count="1" selected="0">
            <x v="61"/>
          </reference>
          <reference field="1" count="1">
            <x v="142"/>
          </reference>
        </references>
      </pivotArea>
    </format>
    <format dxfId="249">
      <pivotArea dataOnly="0" labelOnly="1" outline="0" fieldPosition="0">
        <references count="2">
          <reference field="0" count="1" selected="0">
            <x v="62"/>
          </reference>
          <reference field="1" count="1">
            <x v="78"/>
          </reference>
        </references>
      </pivotArea>
    </format>
    <format dxfId="248">
      <pivotArea dataOnly="0" labelOnly="1" outline="0" fieldPosition="0">
        <references count="2">
          <reference field="0" count="1" selected="0">
            <x v="63"/>
          </reference>
          <reference field="1" count="1">
            <x v="124"/>
          </reference>
        </references>
      </pivotArea>
    </format>
    <format dxfId="247">
      <pivotArea dataOnly="0" labelOnly="1" outline="0" fieldPosition="0">
        <references count="2">
          <reference field="0" count="1" selected="0">
            <x v="64"/>
          </reference>
          <reference field="1" count="1">
            <x v="95"/>
          </reference>
        </references>
      </pivotArea>
    </format>
    <format dxfId="246">
      <pivotArea dataOnly="0" labelOnly="1" outline="0" fieldPosition="0">
        <references count="2">
          <reference field="0" count="1" selected="0">
            <x v="65"/>
          </reference>
          <reference field="1" count="1">
            <x v="19"/>
          </reference>
        </references>
      </pivotArea>
    </format>
    <format dxfId="245">
      <pivotArea dataOnly="0" labelOnly="1" outline="0" fieldPosition="0">
        <references count="2">
          <reference field="0" count="1" selected="0">
            <x v="66"/>
          </reference>
          <reference field="1" count="1">
            <x v="198"/>
          </reference>
        </references>
      </pivotArea>
    </format>
    <format dxfId="244">
      <pivotArea dataOnly="0" labelOnly="1" outline="0" fieldPosition="0">
        <references count="2">
          <reference field="0" count="1" selected="0">
            <x v="67"/>
          </reference>
          <reference field="1" count="1">
            <x v="172"/>
          </reference>
        </references>
      </pivotArea>
    </format>
    <format dxfId="243">
      <pivotArea dataOnly="0" labelOnly="1" outline="0" fieldPosition="0">
        <references count="2">
          <reference field="0" count="1" selected="0">
            <x v="68"/>
          </reference>
          <reference field="1" count="1">
            <x v="27"/>
          </reference>
        </references>
      </pivotArea>
    </format>
    <format dxfId="242">
      <pivotArea dataOnly="0" labelOnly="1" outline="0" fieldPosition="0">
        <references count="2">
          <reference field="0" count="1" selected="0">
            <x v="69"/>
          </reference>
          <reference field="1" count="1">
            <x v="173"/>
          </reference>
        </references>
      </pivotArea>
    </format>
    <format dxfId="241">
      <pivotArea dataOnly="0" labelOnly="1" outline="0" fieldPosition="0">
        <references count="2">
          <reference field="0" count="1" selected="0">
            <x v="70"/>
          </reference>
          <reference field="1" count="1">
            <x v="82"/>
          </reference>
        </references>
      </pivotArea>
    </format>
    <format dxfId="240">
      <pivotArea dataOnly="0" labelOnly="1" outline="0" fieldPosition="0">
        <references count="2">
          <reference field="0" count="1" selected="0">
            <x v="71"/>
          </reference>
          <reference field="1" count="1">
            <x v="83"/>
          </reference>
        </references>
      </pivotArea>
    </format>
    <format dxfId="239">
      <pivotArea dataOnly="0" labelOnly="1" outline="0" fieldPosition="0">
        <references count="2">
          <reference field="0" count="1" selected="0">
            <x v="72"/>
          </reference>
          <reference field="1" count="1">
            <x v="5"/>
          </reference>
        </references>
      </pivotArea>
    </format>
    <format dxfId="238">
      <pivotArea dataOnly="0" labelOnly="1" outline="0" fieldPosition="0">
        <references count="2">
          <reference field="0" count="1" selected="0">
            <x v="73"/>
          </reference>
          <reference field="1" count="1">
            <x v="4"/>
          </reference>
        </references>
      </pivotArea>
    </format>
    <format dxfId="237">
      <pivotArea dataOnly="0" labelOnly="1" outline="0" fieldPosition="0">
        <references count="2">
          <reference field="0" count="1" selected="0">
            <x v="74"/>
          </reference>
          <reference field="1" count="1">
            <x v="201"/>
          </reference>
        </references>
      </pivotArea>
    </format>
    <format dxfId="236">
      <pivotArea dataOnly="0" labelOnly="1" outline="0" fieldPosition="0">
        <references count="2">
          <reference field="0" count="1" selected="0">
            <x v="75"/>
          </reference>
          <reference field="1" count="1">
            <x v="28"/>
          </reference>
        </references>
      </pivotArea>
    </format>
    <format dxfId="235">
      <pivotArea dataOnly="0" labelOnly="1" outline="0" fieldPosition="0">
        <references count="2">
          <reference field="0" count="1" selected="0">
            <x v="76"/>
          </reference>
          <reference field="1" count="1">
            <x v="136"/>
          </reference>
        </references>
      </pivotArea>
    </format>
    <format dxfId="234">
      <pivotArea dataOnly="0" labelOnly="1" outline="0" fieldPosition="0">
        <references count="2">
          <reference field="0" count="1" selected="0">
            <x v="77"/>
          </reference>
          <reference field="1" count="1">
            <x v="137"/>
          </reference>
        </references>
      </pivotArea>
    </format>
    <format dxfId="233">
      <pivotArea dataOnly="0" labelOnly="1" outline="0" fieldPosition="0">
        <references count="2">
          <reference field="0" count="1" selected="0">
            <x v="78"/>
          </reference>
          <reference field="1" count="1">
            <x v="213"/>
          </reference>
        </references>
      </pivotArea>
    </format>
    <format dxfId="232">
      <pivotArea dataOnly="0" labelOnly="1" outline="0" fieldPosition="0">
        <references count="2">
          <reference field="0" count="1" selected="0">
            <x v="79"/>
          </reference>
          <reference field="1" count="1">
            <x v="73"/>
          </reference>
        </references>
      </pivotArea>
    </format>
    <format dxfId="231">
      <pivotArea dataOnly="0" labelOnly="1" outline="0" fieldPosition="0">
        <references count="2">
          <reference field="0" count="1" selected="0">
            <x v="80"/>
          </reference>
          <reference field="1" count="1">
            <x v="197"/>
          </reference>
        </references>
      </pivotArea>
    </format>
    <format dxfId="230">
      <pivotArea dataOnly="0" labelOnly="1" outline="0" fieldPosition="0">
        <references count="2">
          <reference field="0" count="1" selected="0">
            <x v="81"/>
          </reference>
          <reference field="1" count="1">
            <x v="214"/>
          </reference>
        </references>
      </pivotArea>
    </format>
    <format dxfId="229">
      <pivotArea dataOnly="0" labelOnly="1" outline="0" fieldPosition="0">
        <references count="2">
          <reference field="0" count="1" selected="0">
            <x v="82"/>
          </reference>
          <reference field="1" count="1">
            <x v="6"/>
          </reference>
        </references>
      </pivotArea>
    </format>
    <format dxfId="228">
      <pivotArea dataOnly="0" labelOnly="1" outline="0" fieldPosition="0">
        <references count="2">
          <reference field="0" count="1" selected="0">
            <x v="83"/>
          </reference>
          <reference field="1" count="1">
            <x v="207"/>
          </reference>
        </references>
      </pivotArea>
    </format>
    <format dxfId="227">
      <pivotArea dataOnly="0" labelOnly="1" outline="0" fieldPosition="0">
        <references count="2">
          <reference field="0" count="1" selected="0">
            <x v="84"/>
          </reference>
          <reference field="1" count="1">
            <x v="149"/>
          </reference>
        </references>
      </pivotArea>
    </format>
    <format dxfId="226">
      <pivotArea dataOnly="0" labelOnly="1" outline="0" fieldPosition="0">
        <references count="2">
          <reference field="0" count="1" selected="0">
            <x v="85"/>
          </reference>
          <reference field="1" count="1">
            <x v="31"/>
          </reference>
        </references>
      </pivotArea>
    </format>
    <format dxfId="225">
      <pivotArea dataOnly="0" labelOnly="1" outline="0" fieldPosition="0">
        <references count="2">
          <reference field="0" count="1" selected="0">
            <x v="86"/>
          </reference>
          <reference field="1" count="1">
            <x v="84"/>
          </reference>
        </references>
      </pivotArea>
    </format>
    <format dxfId="224">
      <pivotArea dataOnly="0" labelOnly="1" outline="0" fieldPosition="0">
        <references count="2">
          <reference field="0" count="1" selected="0">
            <x v="87"/>
          </reference>
          <reference field="1" count="1">
            <x v="85"/>
          </reference>
        </references>
      </pivotArea>
    </format>
    <format dxfId="223">
      <pivotArea dataOnly="0" labelOnly="1" outline="0" fieldPosition="0">
        <references count="2">
          <reference field="0" count="1" selected="0">
            <x v="88"/>
          </reference>
          <reference field="1" count="1">
            <x v="74"/>
          </reference>
        </references>
      </pivotArea>
    </format>
    <format dxfId="222">
      <pivotArea dataOnly="0" labelOnly="1" outline="0" fieldPosition="0">
        <references count="2">
          <reference field="0" count="1" selected="0">
            <x v="89"/>
          </reference>
          <reference field="1" count="1">
            <x v="90"/>
          </reference>
        </references>
      </pivotArea>
    </format>
    <format dxfId="221">
      <pivotArea dataOnly="0" labelOnly="1" outline="0" fieldPosition="0">
        <references count="2">
          <reference field="0" count="1" selected="0">
            <x v="90"/>
          </reference>
          <reference field="1" count="1">
            <x v="9"/>
          </reference>
        </references>
      </pivotArea>
    </format>
    <format dxfId="220">
      <pivotArea dataOnly="0" labelOnly="1" outline="0" fieldPosition="0">
        <references count="2">
          <reference field="0" count="1" selected="0">
            <x v="91"/>
          </reference>
          <reference field="1" count="1">
            <x v="10"/>
          </reference>
        </references>
      </pivotArea>
    </format>
    <format dxfId="219">
      <pivotArea dataOnly="0" labelOnly="1" outline="0" fieldPosition="0">
        <references count="2">
          <reference field="0" count="1" selected="0">
            <x v="92"/>
          </reference>
          <reference field="1" count="1">
            <x v="208"/>
          </reference>
        </references>
      </pivotArea>
    </format>
    <format dxfId="218">
      <pivotArea dataOnly="0" labelOnly="1" outline="0" fieldPosition="0">
        <references count="2">
          <reference field="0" count="1" selected="0">
            <x v="93"/>
          </reference>
          <reference field="1" count="1">
            <x v="91"/>
          </reference>
        </references>
      </pivotArea>
    </format>
    <format dxfId="217">
      <pivotArea dataOnly="0" labelOnly="1" outline="0" fieldPosition="0">
        <references count="2">
          <reference field="0" count="1" selected="0">
            <x v="94"/>
          </reference>
          <reference field="1" count="1">
            <x v="174"/>
          </reference>
        </references>
      </pivotArea>
    </format>
    <format dxfId="216">
      <pivotArea dataOnly="0" labelOnly="1" outline="0" fieldPosition="0">
        <references count="2">
          <reference field="0" count="1" selected="0">
            <x v="95"/>
          </reference>
          <reference field="1" count="1">
            <x v="171"/>
          </reference>
        </references>
      </pivotArea>
    </format>
    <format dxfId="215">
      <pivotArea dataOnly="0" labelOnly="1" outline="0" fieldPosition="0">
        <references count="2">
          <reference field="0" count="1" selected="0">
            <x v="96"/>
          </reference>
          <reference field="1" count="1">
            <x v="170"/>
          </reference>
        </references>
      </pivotArea>
    </format>
    <format dxfId="214">
      <pivotArea dataOnly="0" labelOnly="1" outline="0" fieldPosition="0">
        <references count="2">
          <reference field="0" count="1" selected="0">
            <x v="97"/>
          </reference>
          <reference field="1" count="1">
            <x v="195"/>
          </reference>
        </references>
      </pivotArea>
    </format>
    <format dxfId="213">
      <pivotArea dataOnly="0" labelOnly="1" outline="0" fieldPosition="0">
        <references count="2">
          <reference field="0" count="1" selected="0">
            <x v="98"/>
          </reference>
          <reference field="1" count="1">
            <x v="36"/>
          </reference>
        </references>
      </pivotArea>
    </format>
    <format dxfId="212">
      <pivotArea dataOnly="0" labelOnly="1" outline="0" fieldPosition="0">
        <references count="2">
          <reference field="0" count="1" selected="0">
            <x v="99"/>
          </reference>
          <reference field="1" count="1">
            <x v="12"/>
          </reference>
        </references>
      </pivotArea>
    </format>
    <format dxfId="211">
      <pivotArea dataOnly="0" labelOnly="1" outline="0" fieldPosition="0">
        <references count="2">
          <reference field="0" count="1" selected="0">
            <x v="100"/>
          </reference>
          <reference field="1" count="1">
            <x v="38"/>
          </reference>
        </references>
      </pivotArea>
    </format>
    <format dxfId="210">
      <pivotArea dataOnly="0" labelOnly="1" outline="0" fieldPosition="0">
        <references count="2">
          <reference field="0" count="1" selected="0">
            <x v="101"/>
          </reference>
          <reference field="1" count="1">
            <x v="148"/>
          </reference>
        </references>
      </pivotArea>
    </format>
    <format dxfId="209">
      <pivotArea dataOnly="0" labelOnly="1" outline="0" fieldPosition="0">
        <references count="2">
          <reference field="0" count="1" selected="0">
            <x v="102"/>
          </reference>
          <reference field="1" count="1">
            <x v="194"/>
          </reference>
        </references>
      </pivotArea>
    </format>
    <format dxfId="208">
      <pivotArea dataOnly="0" labelOnly="1" outline="0" fieldPosition="0">
        <references count="2">
          <reference field="0" count="1" selected="0">
            <x v="103"/>
          </reference>
          <reference field="1" count="1">
            <x v="154"/>
          </reference>
        </references>
      </pivotArea>
    </format>
    <format dxfId="207">
      <pivotArea dataOnly="0" labelOnly="1" outline="0" fieldPosition="0">
        <references count="2">
          <reference field="0" count="1" selected="0">
            <x v="104"/>
          </reference>
          <reference field="1" count="1">
            <x v="103"/>
          </reference>
        </references>
      </pivotArea>
    </format>
    <format dxfId="206">
      <pivotArea dataOnly="0" labelOnly="1" outline="0" fieldPosition="0">
        <references count="2">
          <reference field="0" count="1" selected="0">
            <x v="105"/>
          </reference>
          <reference field="1" count="1">
            <x v="96"/>
          </reference>
        </references>
      </pivotArea>
    </format>
    <format dxfId="205">
      <pivotArea dataOnly="0" labelOnly="1" outline="0" fieldPosition="0">
        <references count="2">
          <reference field="0" count="1" selected="0">
            <x v="106"/>
          </reference>
          <reference field="1" count="1">
            <x v="141"/>
          </reference>
        </references>
      </pivotArea>
    </format>
    <format dxfId="204">
      <pivotArea dataOnly="0" labelOnly="1" outline="0" fieldPosition="0">
        <references count="2">
          <reference field="0" count="1" selected="0">
            <x v="107"/>
          </reference>
          <reference field="1" count="1">
            <x v="86"/>
          </reference>
        </references>
      </pivotArea>
    </format>
    <format dxfId="203">
      <pivotArea dataOnly="0" labelOnly="1" outline="0" fieldPosition="0">
        <references count="2">
          <reference field="0" count="1" selected="0">
            <x v="108"/>
          </reference>
          <reference field="1" count="1">
            <x v="40"/>
          </reference>
        </references>
      </pivotArea>
    </format>
    <format dxfId="202">
      <pivotArea dataOnly="0" labelOnly="1" outline="0" fieldPosition="0">
        <references count="2">
          <reference field="0" count="1" selected="0">
            <x v="109"/>
          </reference>
          <reference field="1" count="1">
            <x v="33"/>
          </reference>
        </references>
      </pivotArea>
    </format>
    <format dxfId="201">
      <pivotArea dataOnly="0" labelOnly="1" outline="0" fieldPosition="0">
        <references count="2">
          <reference field="0" count="1" selected="0">
            <x v="110"/>
          </reference>
          <reference field="1" count="1">
            <x v="17"/>
          </reference>
        </references>
      </pivotArea>
    </format>
    <format dxfId="200">
      <pivotArea dataOnly="0" labelOnly="1" outline="0" fieldPosition="0">
        <references count="2">
          <reference field="0" count="1" selected="0">
            <x v="111"/>
          </reference>
          <reference field="1" count="1">
            <x v="112"/>
          </reference>
        </references>
      </pivotArea>
    </format>
    <format dxfId="199">
      <pivotArea dataOnly="0" labelOnly="1" outline="0" fieldPosition="0">
        <references count="2">
          <reference field="0" count="1" selected="0">
            <x v="112"/>
          </reference>
          <reference field="1" count="1">
            <x v="14"/>
          </reference>
        </references>
      </pivotArea>
    </format>
    <format dxfId="198">
      <pivotArea dataOnly="0" labelOnly="1" outline="0" fieldPosition="0">
        <references count="2">
          <reference field="0" count="1" selected="0">
            <x v="113"/>
          </reference>
          <reference field="1" count="1">
            <x v="151"/>
          </reference>
        </references>
      </pivotArea>
    </format>
    <format dxfId="197">
      <pivotArea dataOnly="0" labelOnly="1" outline="0" fieldPosition="0">
        <references count="2">
          <reference field="0" count="1" selected="0">
            <x v="114"/>
          </reference>
          <reference field="1" count="1">
            <x v="138"/>
          </reference>
        </references>
      </pivotArea>
    </format>
    <format dxfId="196">
      <pivotArea dataOnly="0" labelOnly="1" outline="0" fieldPosition="0">
        <references count="2">
          <reference field="0" count="1" selected="0">
            <x v="115"/>
          </reference>
          <reference field="1" count="1">
            <x v="44"/>
          </reference>
        </references>
      </pivotArea>
    </format>
    <format dxfId="195">
      <pivotArea dataOnly="0" labelOnly="1" outline="0" fieldPosition="0">
        <references count="2">
          <reference field="0" count="1" selected="0">
            <x v="116"/>
          </reference>
          <reference field="1" count="1">
            <x v="111"/>
          </reference>
        </references>
      </pivotArea>
    </format>
    <format dxfId="194">
      <pivotArea dataOnly="0" labelOnly="1" outline="0" fieldPosition="0">
        <references count="2">
          <reference field="0" count="1" selected="0">
            <x v="117"/>
          </reference>
          <reference field="1" count="1">
            <x v="77"/>
          </reference>
        </references>
      </pivotArea>
    </format>
    <format dxfId="193">
      <pivotArea dataOnly="0" labelOnly="1" outline="0" fieldPosition="0">
        <references count="2">
          <reference field="0" count="1" selected="0">
            <x v="118"/>
          </reference>
          <reference field="1" count="1">
            <x v="21"/>
          </reference>
        </references>
      </pivotArea>
    </format>
    <format dxfId="192">
      <pivotArea dataOnly="0" labelOnly="1" outline="0" fieldPosition="0">
        <references count="2">
          <reference field="0" count="1" selected="0">
            <x v="119"/>
          </reference>
          <reference field="1" count="1">
            <x v="200"/>
          </reference>
        </references>
      </pivotArea>
    </format>
    <format dxfId="191">
      <pivotArea dataOnly="0" labelOnly="1" outline="0" fieldPosition="0">
        <references count="2">
          <reference field="0" count="1" selected="0">
            <x v="120"/>
          </reference>
          <reference field="1" count="1">
            <x v="114"/>
          </reference>
        </references>
      </pivotArea>
    </format>
    <format dxfId="190">
      <pivotArea dataOnly="0" labelOnly="1" outline="0" fieldPosition="0">
        <references count="2">
          <reference field="0" count="1" selected="0">
            <x v="121"/>
          </reference>
          <reference field="1" count="1">
            <x v="102"/>
          </reference>
        </references>
      </pivotArea>
    </format>
    <format dxfId="189">
      <pivotArea dataOnly="0" labelOnly="1" outline="0" fieldPosition="0">
        <references count="2">
          <reference field="0" count="1" selected="0">
            <x v="122"/>
          </reference>
          <reference field="1" count="1">
            <x v="209"/>
          </reference>
        </references>
      </pivotArea>
    </format>
    <format dxfId="188">
      <pivotArea dataOnly="0" labelOnly="1" outline="0" fieldPosition="0">
        <references count="2">
          <reference field="0" count="1" selected="0">
            <x v="123"/>
          </reference>
          <reference field="1" count="1">
            <x v="23"/>
          </reference>
        </references>
      </pivotArea>
    </format>
    <format dxfId="187">
      <pivotArea dataOnly="0" labelOnly="1" outline="0" fieldPosition="0">
        <references count="2">
          <reference field="0" count="1" selected="0">
            <x v="124"/>
          </reference>
          <reference field="1" count="1">
            <x v="75"/>
          </reference>
        </references>
      </pivotArea>
    </format>
    <format dxfId="186">
      <pivotArea dataOnly="0" labelOnly="1" outline="0" fieldPosition="0">
        <references count="2">
          <reference field="0" count="1" selected="0">
            <x v="125"/>
          </reference>
          <reference field="1" count="1">
            <x v="13"/>
          </reference>
        </references>
      </pivotArea>
    </format>
    <format dxfId="185">
      <pivotArea dataOnly="0" labelOnly="1" outline="0" fieldPosition="0">
        <references count="2">
          <reference field="0" count="1" selected="0">
            <x v="126"/>
          </reference>
          <reference field="1" count="1">
            <x v="143"/>
          </reference>
        </references>
      </pivotArea>
    </format>
    <format dxfId="184">
      <pivotArea dataOnly="0" labelOnly="1" outline="0" fieldPosition="0">
        <references count="2">
          <reference field="0" count="1" selected="0">
            <x v="127"/>
          </reference>
          <reference field="1" count="1">
            <x v="93"/>
          </reference>
        </references>
      </pivotArea>
    </format>
    <format dxfId="183">
      <pivotArea dataOnly="0" labelOnly="1" outline="0" fieldPosition="0">
        <references count="2">
          <reference field="0" count="1" selected="0">
            <x v="128"/>
          </reference>
          <reference field="1" count="1">
            <x v="196"/>
          </reference>
        </references>
      </pivotArea>
    </format>
    <format dxfId="182">
      <pivotArea dataOnly="0" labelOnly="1" outline="0" fieldPosition="0">
        <references count="2">
          <reference field="0" count="1" selected="0">
            <x v="129"/>
          </reference>
          <reference field="1" count="1">
            <x v="16"/>
          </reference>
        </references>
      </pivotArea>
    </format>
    <format dxfId="181">
      <pivotArea dataOnly="0" labelOnly="1" outline="0" fieldPosition="0">
        <references count="2">
          <reference field="0" count="1" selected="0">
            <x v="130"/>
          </reference>
          <reference field="1" count="1">
            <x v="147"/>
          </reference>
        </references>
      </pivotArea>
    </format>
    <format dxfId="180">
      <pivotArea dataOnly="0" labelOnly="1" outline="0" fieldPosition="0">
        <references count="2">
          <reference field="0" count="1" selected="0">
            <x v="131"/>
          </reference>
          <reference field="1" count="1">
            <x v="212"/>
          </reference>
        </references>
      </pivotArea>
    </format>
    <format dxfId="179">
      <pivotArea dataOnly="0" labelOnly="1" outline="0" fieldPosition="0">
        <references count="2">
          <reference field="0" count="1" selected="0">
            <x v="132"/>
          </reference>
          <reference field="1" count="1">
            <x v="101"/>
          </reference>
        </references>
      </pivotArea>
    </format>
    <format dxfId="178">
      <pivotArea dataOnly="0" labelOnly="1" outline="0" fieldPosition="0">
        <references count="2">
          <reference field="0" count="1" selected="0">
            <x v="133"/>
          </reference>
          <reference field="1" count="1">
            <x v="39"/>
          </reference>
        </references>
      </pivotArea>
    </format>
    <format dxfId="177">
      <pivotArea dataOnly="0" labelOnly="1" outline="0" fieldPosition="0">
        <references count="2">
          <reference field="0" count="1" selected="0">
            <x v="134"/>
          </reference>
          <reference field="1" count="1">
            <x v="67"/>
          </reference>
        </references>
      </pivotArea>
    </format>
    <format dxfId="176">
      <pivotArea dataOnly="0" labelOnly="1" outline="0" fieldPosition="0">
        <references count="2">
          <reference field="0" count="1" selected="0">
            <x v="135"/>
          </reference>
          <reference field="1" count="1">
            <x v="120"/>
          </reference>
        </references>
      </pivotArea>
    </format>
    <format dxfId="175">
      <pivotArea dataOnly="0" labelOnly="1" outline="0" fieldPosition="0">
        <references count="2">
          <reference field="0" count="1" selected="0">
            <x v="136"/>
          </reference>
          <reference field="1" count="1">
            <x v="203"/>
          </reference>
        </references>
      </pivotArea>
    </format>
    <format dxfId="174">
      <pivotArea dataOnly="0" labelOnly="1" outline="0" fieldPosition="0">
        <references count="2">
          <reference field="0" count="1" selected="0">
            <x v="137"/>
          </reference>
          <reference field="1" count="1">
            <x v="178"/>
          </reference>
        </references>
      </pivotArea>
    </format>
    <format dxfId="173">
      <pivotArea dataOnly="0" labelOnly="1" outline="0" fieldPosition="0">
        <references count="2">
          <reference field="0" count="1" selected="0">
            <x v="138"/>
          </reference>
          <reference field="1" count="1">
            <x v="106"/>
          </reference>
        </references>
      </pivotArea>
    </format>
    <format dxfId="172">
      <pivotArea dataOnly="0" labelOnly="1" outline="0" fieldPosition="0">
        <references count="2">
          <reference field="0" count="1" selected="0">
            <x v="139"/>
          </reference>
          <reference field="1" count="1">
            <x v="107"/>
          </reference>
        </references>
      </pivotArea>
    </format>
    <format dxfId="171">
      <pivotArea dataOnly="0" labelOnly="1" outline="0" fieldPosition="0">
        <references count="2">
          <reference field="0" count="1" selected="0">
            <x v="140"/>
          </reference>
          <reference field="1" count="1">
            <x v="105"/>
          </reference>
        </references>
      </pivotArea>
    </format>
    <format dxfId="170">
      <pivotArea dataOnly="0" labelOnly="1" outline="0" fieldPosition="0">
        <references count="2">
          <reference field="0" count="1" selected="0">
            <x v="141"/>
          </reference>
          <reference field="1" count="1">
            <x v="48"/>
          </reference>
        </references>
      </pivotArea>
    </format>
    <format dxfId="169">
      <pivotArea dataOnly="0" labelOnly="1" outline="0" fieldPosition="0">
        <references count="2">
          <reference field="0" count="1" selected="0">
            <x v="142"/>
          </reference>
          <reference field="1" count="1">
            <x v="46"/>
          </reference>
        </references>
      </pivotArea>
    </format>
    <format dxfId="168">
      <pivotArea dataOnly="0" labelOnly="1" outline="0" fieldPosition="0">
        <references count="2">
          <reference field="0" count="1" selected="0">
            <x v="143"/>
          </reference>
          <reference field="1" count="1">
            <x v="47"/>
          </reference>
        </references>
      </pivotArea>
    </format>
    <format dxfId="167">
      <pivotArea dataOnly="0" labelOnly="1" outline="0" fieldPosition="0">
        <references count="2">
          <reference field="0" count="1" selected="0">
            <x v="144"/>
          </reference>
          <reference field="1" count="1">
            <x v="52"/>
          </reference>
        </references>
      </pivotArea>
    </format>
    <format dxfId="166">
      <pivotArea dataOnly="0" labelOnly="1" outline="0" fieldPosition="0">
        <references count="2">
          <reference field="0" count="1" selected="0">
            <x v="145"/>
          </reference>
          <reference field="1" count="1">
            <x v="59"/>
          </reference>
        </references>
      </pivotArea>
    </format>
    <format dxfId="165">
      <pivotArea dataOnly="0" labelOnly="1" outline="0" fieldPosition="0">
        <references count="2">
          <reference field="0" count="1" selected="0">
            <x v="146"/>
          </reference>
          <reference field="1" count="1">
            <x v="64"/>
          </reference>
        </references>
      </pivotArea>
    </format>
    <format dxfId="164">
      <pivotArea dataOnly="0" labelOnly="1" outline="0" fieldPosition="0">
        <references count="2">
          <reference field="0" count="1" selected="0">
            <x v="147"/>
          </reference>
          <reference field="1" count="1">
            <x v="56"/>
          </reference>
        </references>
      </pivotArea>
    </format>
    <format dxfId="163">
      <pivotArea dataOnly="0" labelOnly="1" outline="0" fieldPosition="0">
        <references count="2">
          <reference field="0" count="1" selected="0">
            <x v="148"/>
          </reference>
          <reference field="1" count="1">
            <x v="63"/>
          </reference>
        </references>
      </pivotArea>
    </format>
    <format dxfId="162">
      <pivotArea dataOnly="0" labelOnly="1" outline="0" fieldPosition="0">
        <references count="2">
          <reference field="0" count="1" selected="0">
            <x v="149"/>
          </reference>
          <reference field="1" count="1">
            <x v="62"/>
          </reference>
        </references>
      </pivotArea>
    </format>
    <format dxfId="161">
      <pivotArea dataOnly="0" labelOnly="1" outline="0" fieldPosition="0">
        <references count="2">
          <reference field="0" count="1" selected="0">
            <x v="150"/>
          </reference>
          <reference field="1" count="1">
            <x v="55"/>
          </reference>
        </references>
      </pivotArea>
    </format>
    <format dxfId="160">
      <pivotArea dataOnly="0" labelOnly="1" outline="0" fieldPosition="0">
        <references count="2">
          <reference field="0" count="1" selected="0">
            <x v="151"/>
          </reference>
          <reference field="1" count="1">
            <x v="57"/>
          </reference>
        </references>
      </pivotArea>
    </format>
    <format dxfId="159">
      <pivotArea dataOnly="0" labelOnly="1" outline="0" fieldPosition="0">
        <references count="2">
          <reference field="0" count="1" selected="0">
            <x v="152"/>
          </reference>
          <reference field="1" count="1">
            <x v="54"/>
          </reference>
        </references>
      </pivotArea>
    </format>
    <format dxfId="158">
      <pivotArea dataOnly="0" labelOnly="1" outline="0" fieldPosition="0">
        <references count="2">
          <reference field="0" count="1" selected="0">
            <x v="153"/>
          </reference>
          <reference field="1" count="1">
            <x v="53"/>
          </reference>
        </references>
      </pivotArea>
    </format>
    <format dxfId="157">
      <pivotArea dataOnly="0" labelOnly="1" outline="0" fieldPosition="0">
        <references count="2">
          <reference field="0" count="1" selected="0">
            <x v="154"/>
          </reference>
          <reference field="1" count="1">
            <x v="61"/>
          </reference>
        </references>
      </pivotArea>
    </format>
    <format dxfId="156">
      <pivotArea dataOnly="0" labelOnly="1" outline="0" fieldPosition="0">
        <references count="2">
          <reference field="0" count="1" selected="0">
            <x v="155"/>
          </reference>
          <reference field="1" count="1">
            <x v="58"/>
          </reference>
        </references>
      </pivotArea>
    </format>
    <format dxfId="155">
      <pivotArea dataOnly="0" labelOnly="1" outline="0" fieldPosition="0">
        <references count="2">
          <reference field="0" count="1" selected="0">
            <x v="156"/>
          </reference>
          <reference field="1" count="1">
            <x v="60"/>
          </reference>
        </references>
      </pivotArea>
    </format>
    <format dxfId="154">
      <pivotArea dataOnly="0" labelOnly="1" outline="0" fieldPosition="0">
        <references count="2">
          <reference field="0" count="1" selected="0">
            <x v="157"/>
          </reference>
          <reference field="1" count="1">
            <x v="51"/>
          </reference>
        </references>
      </pivotArea>
    </format>
    <format dxfId="153">
      <pivotArea dataOnly="0" labelOnly="1" outline="0" fieldPosition="0">
        <references count="2">
          <reference field="0" count="1" selected="0">
            <x v="158"/>
          </reference>
          <reference field="1" count="1">
            <x v="49"/>
          </reference>
        </references>
      </pivotArea>
    </format>
    <format dxfId="152">
      <pivotArea dataOnly="0" labelOnly="1" outline="0" fieldPosition="0">
        <references count="2">
          <reference field="0" count="1" selected="0">
            <x v="159"/>
          </reference>
          <reference field="1" count="1">
            <x v="50"/>
          </reference>
        </references>
      </pivotArea>
    </format>
    <format dxfId="151">
      <pivotArea dataOnly="0" labelOnly="1" outline="0" fieldPosition="0">
        <references count="2">
          <reference field="0" count="1" selected="0">
            <x v="160"/>
          </reference>
          <reference field="1" count="1">
            <x v="65"/>
          </reference>
        </references>
      </pivotArea>
    </format>
    <format dxfId="150">
      <pivotArea dataOnly="0" labelOnly="1" outline="0" fieldPosition="0">
        <references count="2">
          <reference field="0" count="1" selected="0">
            <x v="161"/>
          </reference>
          <reference field="1" count="1">
            <x v="41"/>
          </reference>
        </references>
      </pivotArea>
    </format>
    <format dxfId="149">
      <pivotArea dataOnly="0" labelOnly="1" outline="0" fieldPosition="0">
        <references count="2">
          <reference field="0" count="1" selected="0">
            <x v="162"/>
          </reference>
          <reference field="1" count="1">
            <x v="43"/>
          </reference>
        </references>
      </pivotArea>
    </format>
    <format dxfId="148">
      <pivotArea dataOnly="0" labelOnly="1" outline="0" fieldPosition="0">
        <references count="2">
          <reference field="0" count="1" selected="0">
            <x v="163"/>
          </reference>
          <reference field="1" count="1">
            <x v="42"/>
          </reference>
        </references>
      </pivotArea>
    </format>
    <format dxfId="147">
      <pivotArea dataOnly="0" labelOnly="1" outline="0" fieldPosition="0">
        <references count="2">
          <reference field="0" count="1" selected="0">
            <x v="164"/>
          </reference>
          <reference field="1" count="1">
            <x v="100"/>
          </reference>
        </references>
      </pivotArea>
    </format>
    <format dxfId="146">
      <pivotArea dataOnly="0" labelOnly="1" outline="0" fieldPosition="0">
        <references count="2">
          <reference field="0" count="1" selected="0">
            <x v="165"/>
          </reference>
          <reference field="1" count="1">
            <x v="129"/>
          </reference>
        </references>
      </pivotArea>
    </format>
    <format dxfId="145">
      <pivotArea dataOnly="0" labelOnly="1" outline="0" fieldPosition="0">
        <references count="2">
          <reference field="0" count="1" selected="0">
            <x v="166"/>
          </reference>
          <reference field="1" count="1">
            <x v="7"/>
          </reference>
        </references>
      </pivotArea>
    </format>
    <format dxfId="144">
      <pivotArea dataOnly="0" labelOnly="1" outline="0" fieldPosition="0">
        <references count="2">
          <reference field="0" count="1" selected="0">
            <x v="167"/>
          </reference>
          <reference field="1" count="1">
            <x v="8"/>
          </reference>
        </references>
      </pivotArea>
    </format>
    <format dxfId="143">
      <pivotArea dataOnly="0" labelOnly="1" outline="0" fieldPosition="0">
        <references count="2">
          <reference field="0" count="1" selected="0">
            <x v="168"/>
          </reference>
          <reference field="1" count="1">
            <x v="94"/>
          </reference>
        </references>
      </pivotArea>
    </format>
    <format dxfId="142">
      <pivotArea dataOnly="0" labelOnly="1" outline="0" fieldPosition="0">
        <references count="2">
          <reference field="0" count="1" selected="0">
            <x v="169"/>
          </reference>
          <reference field="1" count="1">
            <x v="69"/>
          </reference>
        </references>
      </pivotArea>
    </format>
    <format dxfId="141">
      <pivotArea dataOnly="0" labelOnly="1" outline="0" fieldPosition="0">
        <references count="2">
          <reference field="0" count="1" selected="0">
            <x v="170"/>
          </reference>
          <reference field="1" count="1">
            <x v="68"/>
          </reference>
        </references>
      </pivotArea>
    </format>
    <format dxfId="140">
      <pivotArea dataOnly="0" labelOnly="1" outline="0" fieldPosition="0">
        <references count="2">
          <reference field="0" count="1" selected="0">
            <x v="171"/>
          </reference>
          <reference field="1" count="1">
            <x v="34"/>
          </reference>
        </references>
      </pivotArea>
    </format>
    <format dxfId="139">
      <pivotArea dataOnly="0" labelOnly="1" outline="0" fieldPosition="0">
        <references count="2">
          <reference field="0" count="1" selected="0">
            <x v="172"/>
          </reference>
          <reference field="1" count="1">
            <x v="35"/>
          </reference>
        </references>
      </pivotArea>
    </format>
    <format dxfId="138">
      <pivotArea dataOnly="0" labelOnly="1" outline="0" fieldPosition="0">
        <references count="2">
          <reference field="0" count="1" selected="0">
            <x v="173"/>
          </reference>
          <reference field="1" count="1">
            <x v="18"/>
          </reference>
        </references>
      </pivotArea>
    </format>
    <format dxfId="137">
      <pivotArea dataOnly="0" labelOnly="1" outline="0" fieldPosition="0">
        <references count="2">
          <reference field="0" count="1" selected="0">
            <x v="174"/>
          </reference>
          <reference field="1" count="1">
            <x v="156"/>
          </reference>
        </references>
      </pivotArea>
    </format>
    <format dxfId="136">
      <pivotArea dataOnly="0" labelOnly="1" outline="0" fieldPosition="0">
        <references count="2">
          <reference field="0" count="1" selected="0">
            <x v="175"/>
          </reference>
          <reference field="1" count="1">
            <x v="165"/>
          </reference>
        </references>
      </pivotArea>
    </format>
    <format dxfId="135">
      <pivotArea dataOnly="0" labelOnly="1" outline="0" fieldPosition="0">
        <references count="2">
          <reference field="0" count="1" selected="0">
            <x v="176"/>
          </reference>
          <reference field="1" count="1">
            <x v="159"/>
          </reference>
        </references>
      </pivotArea>
    </format>
    <format dxfId="134">
      <pivotArea dataOnly="0" labelOnly="1" outline="0" fieldPosition="0">
        <references count="2">
          <reference field="0" count="1" selected="0">
            <x v="177"/>
          </reference>
          <reference field="1" count="1">
            <x v="169"/>
          </reference>
        </references>
      </pivotArea>
    </format>
    <format dxfId="133">
      <pivotArea dataOnly="0" labelOnly="1" outline="0" fieldPosition="0">
        <references count="2">
          <reference field="0" count="1" selected="0">
            <x v="178"/>
          </reference>
          <reference field="1" count="1">
            <x v="167"/>
          </reference>
        </references>
      </pivotArea>
    </format>
    <format dxfId="132">
      <pivotArea dataOnly="0" labelOnly="1" outline="0" fieldPosition="0">
        <references count="2">
          <reference field="0" count="1" selected="0">
            <x v="179"/>
          </reference>
          <reference field="1" count="1">
            <x v="163"/>
          </reference>
        </references>
      </pivotArea>
    </format>
    <format dxfId="131">
      <pivotArea dataOnly="0" labelOnly="1" outline="0" fieldPosition="0">
        <references count="2">
          <reference field="0" count="1" selected="0">
            <x v="180"/>
          </reference>
          <reference field="1" count="1">
            <x v="168"/>
          </reference>
        </references>
      </pivotArea>
    </format>
    <format dxfId="130">
      <pivotArea dataOnly="0" labelOnly="1" outline="0" fieldPosition="0">
        <references count="2">
          <reference field="0" count="1" selected="0">
            <x v="181"/>
          </reference>
          <reference field="1" count="1">
            <x v="162"/>
          </reference>
        </references>
      </pivotArea>
    </format>
    <format dxfId="129">
      <pivotArea dataOnly="0" labelOnly="1" outline="0" fieldPosition="0">
        <references count="2">
          <reference field="0" count="1" selected="0">
            <x v="182"/>
          </reference>
          <reference field="1" count="1">
            <x v="157"/>
          </reference>
        </references>
      </pivotArea>
    </format>
    <format dxfId="128">
      <pivotArea dataOnly="0" labelOnly="1" outline="0" fieldPosition="0">
        <references count="2">
          <reference field="0" count="1" selected="0">
            <x v="184"/>
          </reference>
          <reference field="1" count="1">
            <x v="164"/>
          </reference>
        </references>
      </pivotArea>
    </format>
    <format dxfId="127">
      <pivotArea dataOnly="0" labelOnly="1" outline="0" fieldPosition="0">
        <references count="2">
          <reference field="0" count="1" selected="0">
            <x v="185"/>
          </reference>
          <reference field="1" count="1">
            <x v="166"/>
          </reference>
        </references>
      </pivotArea>
    </format>
    <format dxfId="126">
      <pivotArea dataOnly="0" labelOnly="1" outline="0" fieldPosition="0">
        <references count="2">
          <reference field="0" count="1" selected="0">
            <x v="186"/>
          </reference>
          <reference field="1" count="1">
            <x v="161"/>
          </reference>
        </references>
      </pivotArea>
    </format>
    <format dxfId="125">
      <pivotArea dataOnly="0" labelOnly="1" outline="0" fieldPosition="0">
        <references count="2">
          <reference field="0" count="1" selected="0">
            <x v="187"/>
          </reference>
          <reference field="1" count="1">
            <x v="160"/>
          </reference>
        </references>
      </pivotArea>
    </format>
    <format dxfId="124">
      <pivotArea dataOnly="0" labelOnly="1" outline="0" fieldPosition="0">
        <references count="2">
          <reference field="0" count="1" selected="0">
            <x v="188"/>
          </reference>
          <reference field="1" count="1">
            <x v="158"/>
          </reference>
        </references>
      </pivotArea>
    </format>
    <format dxfId="123">
      <pivotArea dataOnly="0" labelOnly="1" outline="0" fieldPosition="0">
        <references count="2">
          <reference field="0" count="1" selected="0">
            <x v="189"/>
          </reference>
          <reference field="1" count="1">
            <x v="131"/>
          </reference>
        </references>
      </pivotArea>
    </format>
    <format dxfId="122">
      <pivotArea dataOnly="0" labelOnly="1" outline="0" fieldPosition="0">
        <references count="2">
          <reference field="0" count="1" selected="0">
            <x v="190"/>
          </reference>
          <reference field="1" count="1">
            <x v="130"/>
          </reference>
        </references>
      </pivotArea>
    </format>
    <format dxfId="121">
      <pivotArea dataOnly="0" labelOnly="1" outline="0" fieldPosition="0">
        <references count="2">
          <reference field="0" count="1" selected="0">
            <x v="191"/>
          </reference>
          <reference field="1" count="1">
            <x v="132"/>
          </reference>
        </references>
      </pivotArea>
    </format>
    <format dxfId="120">
      <pivotArea dataOnly="0" labelOnly="1" outline="0" fieldPosition="0">
        <references count="2">
          <reference field="0" count="1" selected="0">
            <x v="192"/>
          </reference>
          <reference field="1" count="1">
            <x v="179"/>
          </reference>
        </references>
      </pivotArea>
    </format>
    <format dxfId="119">
      <pivotArea dataOnly="0" labelOnly="1" outline="0" fieldPosition="0">
        <references count="2">
          <reference field="0" count="1" selected="0">
            <x v="193"/>
          </reference>
          <reference field="1" count="1">
            <x v="188"/>
          </reference>
        </references>
      </pivotArea>
    </format>
    <format dxfId="118">
      <pivotArea dataOnly="0" labelOnly="1" outline="0" fieldPosition="0">
        <references count="2">
          <reference field="0" count="1" selected="0">
            <x v="194"/>
          </reference>
          <reference field="1" count="1">
            <x v="182"/>
          </reference>
        </references>
      </pivotArea>
    </format>
    <format dxfId="117">
      <pivotArea dataOnly="0" labelOnly="1" outline="0" fieldPosition="0">
        <references count="2">
          <reference field="0" count="1" selected="0">
            <x v="195"/>
          </reference>
          <reference field="1" count="1">
            <x v="191"/>
          </reference>
        </references>
      </pivotArea>
    </format>
    <format dxfId="116">
      <pivotArea dataOnly="0" labelOnly="1" outline="0" fieldPosition="0">
        <references count="2">
          <reference field="0" count="1" selected="0">
            <x v="196"/>
          </reference>
          <reference field="1" count="1">
            <x v="190"/>
          </reference>
        </references>
      </pivotArea>
    </format>
    <format dxfId="115">
      <pivotArea dataOnly="0" labelOnly="1" outline="0" fieldPosition="0">
        <references count="2">
          <reference field="0" count="1" selected="0">
            <x v="197"/>
          </reference>
          <reference field="1" count="1">
            <x v="186"/>
          </reference>
        </references>
      </pivotArea>
    </format>
    <format dxfId="114">
      <pivotArea dataOnly="0" labelOnly="1" outline="0" fieldPosition="0">
        <references count="2">
          <reference field="0" count="1" selected="0">
            <x v="199"/>
          </reference>
          <reference field="1" count="1">
            <x v="185"/>
          </reference>
        </references>
      </pivotArea>
    </format>
    <format dxfId="113">
      <pivotArea dataOnly="0" labelOnly="1" outline="0" fieldPosition="0">
        <references count="2">
          <reference field="0" count="1" selected="0">
            <x v="200"/>
          </reference>
          <reference field="1" count="1">
            <x v="187"/>
          </reference>
        </references>
      </pivotArea>
    </format>
    <format dxfId="112">
      <pivotArea dataOnly="0" labelOnly="1" outline="0" fieldPosition="0">
        <references count="2">
          <reference field="0" count="1" selected="0">
            <x v="201"/>
          </reference>
          <reference field="1" count="1">
            <x v="189"/>
          </reference>
        </references>
      </pivotArea>
    </format>
    <format dxfId="111">
      <pivotArea dataOnly="0" labelOnly="1" outline="0" fieldPosition="0">
        <references count="2">
          <reference field="0" count="1" selected="0">
            <x v="202"/>
          </reference>
          <reference field="1" count="1">
            <x v="180"/>
          </reference>
        </references>
      </pivotArea>
    </format>
    <format dxfId="110">
      <pivotArea dataOnly="0" labelOnly="1" outline="0" fieldPosition="0">
        <references count="2">
          <reference field="0" count="1" selected="0">
            <x v="203"/>
          </reference>
          <reference field="1" count="1">
            <x v="184"/>
          </reference>
        </references>
      </pivotArea>
    </format>
    <format dxfId="109">
      <pivotArea dataOnly="0" labelOnly="1" outline="0" fieldPosition="0">
        <references count="2">
          <reference field="0" count="1" selected="0">
            <x v="204"/>
          </reference>
          <reference field="1" count="1">
            <x v="183"/>
          </reference>
        </references>
      </pivotArea>
    </format>
    <format dxfId="108">
      <pivotArea dataOnly="0" labelOnly="1" outline="0" fieldPosition="0">
        <references count="2">
          <reference field="0" count="1" selected="0">
            <x v="205"/>
          </reference>
          <reference field="1" count="1">
            <x v="192"/>
          </reference>
        </references>
      </pivotArea>
    </format>
    <format dxfId="107">
      <pivotArea dataOnly="0" labelOnly="1" outline="0" fieldPosition="0">
        <references count="2">
          <reference field="0" count="1" selected="0">
            <x v="206"/>
          </reference>
          <reference field="1" count="1">
            <x v="181"/>
          </reference>
        </references>
      </pivotArea>
    </format>
    <format dxfId="106">
      <pivotArea dataOnly="0" labelOnly="1" outline="0" fieldPosition="0">
        <references count="2">
          <reference field="0" count="1" selected="0">
            <x v="207"/>
          </reference>
          <reference field="1" count="1">
            <x v="193"/>
          </reference>
        </references>
      </pivotArea>
    </format>
    <format dxfId="105">
      <pivotArea dataOnly="0" labelOnly="1" outline="0" fieldPosition="0">
        <references count="2">
          <reference field="0" count="1" selected="0">
            <x v="208"/>
          </reference>
          <reference field="1" count="13">
            <x v="1"/>
            <x v="2"/>
            <x v="3"/>
            <x v="80"/>
            <x v="122"/>
            <x v="123"/>
            <x v="135"/>
            <x v="139"/>
            <x v="145"/>
            <x v="146"/>
            <x v="202"/>
            <x v="206"/>
            <x v="215"/>
          </reference>
        </references>
      </pivotArea>
    </format>
    <format dxfId="104">
      <pivotArea dataOnly="0" labelOnly="1" outline="0" fieldPosition="0">
        <references count="1">
          <reference field="4294967294" count="1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</reference>
        </references>
      </pivotArea>
    </format>
    <format dxfId="103">
      <pivotArea outline="0" fieldPosition="0">
        <references count="3">
          <reference field="4294967294" count="5" selected="0">
            <x v="1"/>
            <x v="2"/>
            <x v="3"/>
            <x v="4"/>
            <x v="5"/>
          </reference>
          <reference field="0" count="29" selected="0">
            <x v="177"/>
            <x v="178"/>
            <x v="179"/>
            <x v="180"/>
            <x v="181"/>
            <x v="182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9"/>
            <x v="200"/>
            <x v="201"/>
            <x v="202"/>
            <x v="203"/>
            <x v="204"/>
            <x v="205"/>
            <x v="206"/>
            <x v="207"/>
          </reference>
          <reference field="1" count="29" selected="0">
            <x v="130"/>
            <x v="131"/>
            <x v="132"/>
            <x v="157"/>
            <x v="158"/>
            <x v="160"/>
            <x v="161"/>
            <x v="162"/>
            <x v="163"/>
            <x v="164"/>
            <x v="166"/>
            <x v="167"/>
            <x v="168"/>
            <x v="169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</reference>
        </references>
      </pivotArea>
    </format>
    <format dxfId="102">
      <pivotArea type="topRight" dataOnly="0" labelOnly="1" outline="0" offset="D1:Q1" fieldPosition="0"/>
    </format>
    <format dxfId="101">
      <pivotArea dataOnly="0" labelOnly="1" outline="0" fieldPosition="0">
        <references count="1">
          <reference field="4294967294" count="14"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name="Kimutatás3" cacheId="2" applyNumberFormats="0" applyBorderFormats="0" applyFontFormats="0" applyPatternFormats="0" applyAlignmentFormats="0" applyWidthHeightFormats="1" dataCaption="Értékek" updatedVersion="6" minRefreshableVersion="3" useAutoFormatting="1" rowGrandTotals="0" colGrandTotals="0" itemPrintTitles="1" createdVersion="6" indent="0" compact="0" compactData="0" multipleFieldFilters="0">
  <location ref="A4:C81" firstHeaderRow="1" firstDataRow="1" firstDataCol="2" rowPageCount="1" colPageCount="1"/>
  <pivotFields count="54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>
      <items count="96">
        <item x="21"/>
        <item x="14"/>
        <item x="8"/>
        <item x="56"/>
        <item x="16"/>
        <item x="10"/>
        <item x="58"/>
        <item x="66"/>
        <item x="12"/>
        <item x="11"/>
        <item x="70"/>
        <item x="71"/>
        <item x="32"/>
        <item x="76"/>
        <item x="63"/>
        <item x="75"/>
        <item x="33"/>
        <item x="6"/>
        <item x="88"/>
        <item x="89"/>
        <item x="91"/>
        <item x="83"/>
        <item x="81"/>
        <item x="43"/>
        <item x="17"/>
        <item x="37"/>
        <item x="40"/>
        <item x="85"/>
        <item x="86"/>
        <item x="68"/>
        <item x="69"/>
        <item x="0"/>
        <item x="90"/>
        <item x="1"/>
        <item x="3"/>
        <item x="5"/>
        <item x="45"/>
        <item x="67"/>
        <item x="73"/>
        <item x="29"/>
        <item x="44"/>
        <item x="46"/>
        <item x="64"/>
        <item x="77"/>
        <item x="4"/>
        <item x="9"/>
        <item x="15"/>
        <item x="57"/>
        <item x="2"/>
        <item x="7"/>
        <item x="13"/>
        <item x="55"/>
        <item x="74"/>
        <item x="78"/>
        <item x="92"/>
        <item x="93"/>
        <item m="1" x="94"/>
        <item x="18"/>
        <item x="22"/>
        <item x="38"/>
        <item x="39"/>
        <item x="52"/>
        <item x="54"/>
        <item x="59"/>
        <item x="65"/>
        <item x="72"/>
        <item x="62"/>
        <item x="79"/>
        <item x="80"/>
        <item x="82"/>
        <item x="84"/>
        <item x="87"/>
        <item x="53"/>
        <item x="23"/>
        <item x="24"/>
        <item x="25"/>
        <item x="26"/>
        <item x="27"/>
        <item x="28"/>
        <item x="19"/>
        <item x="20"/>
        <item x="30"/>
        <item x="31"/>
        <item x="34"/>
        <item x="35"/>
        <item x="36"/>
        <item x="41"/>
        <item x="42"/>
        <item x="47"/>
        <item x="48"/>
        <item x="49"/>
        <item x="50"/>
        <item x="51"/>
        <item x="60"/>
        <item x="6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11">
        <item x="1"/>
        <item x="2"/>
        <item x="6"/>
        <item h="1" x="0"/>
        <item x="9"/>
        <item x="3"/>
        <item x="4"/>
        <item x="5"/>
        <item x="7"/>
        <item x="8"/>
        <item h="1" m="1" x="1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 defaultSubtotal="0">
      <items count="72">
        <item h="1" x="0"/>
        <item x="1"/>
        <item x="2"/>
        <item x="3"/>
        <item x="4"/>
        <item x="6"/>
        <item x="7"/>
        <item x="5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1"/>
        <item x="52"/>
        <item x="50"/>
        <item x="53"/>
        <item x="55"/>
        <item x="57"/>
        <item x="60"/>
        <item x="59"/>
        <item x="54"/>
        <item x="56"/>
        <item x="58"/>
        <item x="61"/>
        <item x="62"/>
        <item x="63"/>
        <item x="64"/>
        <item x="65"/>
        <item x="66"/>
        <item x="67"/>
        <item x="68"/>
        <item x="69"/>
        <item x="70"/>
        <item m="1" x="71"/>
        <item h="1" x="3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multipleItemSelectionAllowed="1" showAll="0" sortType="ascending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multipleItemSelectionAllowed="1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"/>
  </rowFields>
  <rowItems count="77">
    <i>
      <x v="1"/>
      <x v="34"/>
    </i>
    <i r="1">
      <x v="48"/>
    </i>
    <i>
      <x v="2"/>
      <x v="35"/>
    </i>
    <i>
      <x v="3"/>
      <x v="2"/>
    </i>
    <i r="1">
      <x v="49"/>
    </i>
    <i>
      <x v="4"/>
      <x v="5"/>
    </i>
    <i>
      <x v="5"/>
      <x v="1"/>
    </i>
    <i r="1">
      <x v="50"/>
    </i>
    <i>
      <x v="6"/>
      <x v="4"/>
    </i>
    <i>
      <x v="7"/>
      <x v="9"/>
    </i>
    <i>
      <x v="8"/>
      <x v="24"/>
    </i>
    <i>
      <x v="9"/>
      <x v="57"/>
    </i>
    <i>
      <x v="10"/>
      <x v="79"/>
    </i>
    <i>
      <x v="11"/>
      <x v="80"/>
    </i>
    <i>
      <x v="12"/>
      <x v="58"/>
    </i>
    <i>
      <x v="13"/>
      <x v="73"/>
    </i>
    <i>
      <x v="14"/>
      <x v="74"/>
    </i>
    <i>
      <x v="15"/>
      <x v="75"/>
    </i>
    <i>
      <x v="16"/>
      <x v="76"/>
    </i>
    <i>
      <x v="17"/>
      <x v="77"/>
    </i>
    <i>
      <x v="18"/>
      <x v="78"/>
    </i>
    <i>
      <x v="19"/>
      <x v="39"/>
    </i>
    <i>
      <x v="20"/>
      <x v="81"/>
    </i>
    <i>
      <x v="21"/>
      <x v="82"/>
    </i>
    <i>
      <x v="22"/>
      <x v="12"/>
    </i>
    <i>
      <x v="23"/>
      <x v="16"/>
    </i>
    <i>
      <x v="24"/>
      <x v="83"/>
    </i>
    <i r="1">
      <x v="84"/>
    </i>
    <i>
      <x v="25"/>
      <x v="85"/>
    </i>
    <i>
      <x v="26"/>
      <x v="25"/>
    </i>
    <i>
      <x v="27"/>
      <x v="59"/>
    </i>
    <i>
      <x v="28"/>
      <x v="60"/>
    </i>
    <i>
      <x v="29"/>
      <x v="26"/>
    </i>
    <i>
      <x v="30"/>
      <x v="86"/>
    </i>
    <i>
      <x v="31"/>
      <x v="23"/>
    </i>
    <i>
      <x v="32"/>
      <x v="40"/>
    </i>
    <i>
      <x v="33"/>
      <x v="36"/>
    </i>
    <i>
      <x v="34"/>
      <x v="41"/>
    </i>
    <i>
      <x v="35"/>
      <x v="88"/>
    </i>
    <i>
      <x v="36"/>
      <x v="89"/>
    </i>
    <i r="1">
      <x v="90"/>
    </i>
    <i r="1">
      <x v="91"/>
    </i>
    <i>
      <x v="37"/>
      <x v="34"/>
    </i>
    <i r="1">
      <x v="48"/>
    </i>
    <i>
      <x v="38"/>
      <x v="35"/>
    </i>
    <i>
      <x v="39"/>
      <x v="61"/>
    </i>
    <i>
      <x v="40"/>
      <x v="72"/>
    </i>
    <i>
      <x v="41"/>
      <x v="3"/>
    </i>
    <i r="1">
      <x v="51"/>
    </i>
    <i>
      <x v="42"/>
      <x v="6"/>
    </i>
    <i>
      <x v="43"/>
      <x v="63"/>
    </i>
    <i>
      <x v="44"/>
      <x v="93"/>
    </i>
    <i>
      <x v="45"/>
      <x v="94"/>
    </i>
    <i>
      <x v="46"/>
      <x v="66"/>
    </i>
    <i>
      <x v="47"/>
      <x v="14"/>
    </i>
    <i>
      <x v="48"/>
      <x v="16"/>
    </i>
    <i>
      <x v="49"/>
      <x v="64"/>
    </i>
    <i>
      <x v="50"/>
      <x v="7"/>
    </i>
    <i>
      <x v="51"/>
      <x v="42"/>
    </i>
    <i>
      <x v="52"/>
      <x v="37"/>
    </i>
    <i>
      <x v="53"/>
      <x v="30"/>
    </i>
    <i>
      <x v="54"/>
      <x v="11"/>
    </i>
    <i>
      <x v="55"/>
      <x v="15"/>
    </i>
    <i>
      <x v="56"/>
      <x v="38"/>
    </i>
    <i>
      <x v="57"/>
      <x v="29"/>
    </i>
    <i>
      <x v="58"/>
      <x v="10"/>
    </i>
    <i>
      <x v="59"/>
      <x v="65"/>
    </i>
    <i>
      <x v="60"/>
      <x v="13"/>
    </i>
    <i>
      <x v="61"/>
      <x v="43"/>
    </i>
    <i>
      <x v="62"/>
      <x v="53"/>
    </i>
    <i>
      <x v="63"/>
      <x v="68"/>
    </i>
    <i>
      <x v="64"/>
      <x v="22"/>
    </i>
    <i>
      <x v="65"/>
      <x v="69"/>
    </i>
    <i>
      <x v="66"/>
      <x v="70"/>
    </i>
    <i>
      <x v="67"/>
      <x v="27"/>
    </i>
    <i>
      <x v="68"/>
      <x v="28"/>
    </i>
    <i>
      <x v="69"/>
      <x v="19"/>
    </i>
  </rowItems>
  <colItems count="1">
    <i/>
  </colItems>
  <pageFields count="1">
    <pageField fld="2" hier="-1"/>
  </pageFields>
  <dataFields count="1">
    <dataField name="Összeg / BDPK" fld="8" baseField="1" baseItem="84" numFmtId="3"/>
  </dataFields>
  <formats count="87">
    <format dxfId="100">
      <pivotArea outline="0" collapsedLevelsAreSubtotals="1" fieldPosition="0"/>
    </format>
    <format dxfId="99">
      <pivotArea outline="0" collapsedLevelsAreSubtotals="1" fieldPosition="0">
        <references count="2">
          <reference field="1" count="1" selected="0">
            <x v="43"/>
          </reference>
          <reference field="3" count="1" selected="0">
            <x v="61"/>
          </reference>
        </references>
      </pivotArea>
    </format>
    <format dxfId="98">
      <pivotArea dataOnly="0" labelOnly="1" outline="0" fieldPosition="0">
        <references count="1">
          <reference field="3" count="1">
            <x v="61"/>
          </reference>
        </references>
      </pivotArea>
    </format>
    <format dxfId="97">
      <pivotArea dataOnly="0" labelOnly="1" outline="0" fieldPosition="0">
        <references count="2">
          <reference field="1" count="1">
            <x v="43"/>
          </reference>
          <reference field="3" count="1" selected="0">
            <x v="61"/>
          </reference>
        </references>
      </pivotArea>
    </format>
    <format dxfId="96">
      <pivotArea outline="0" collapsedLevelsAreSubtotals="1" fieldPosition="0">
        <references count="2">
          <reference field="1" count="1" selected="0">
            <x v="42"/>
          </reference>
          <reference field="3" count="1" selected="0">
            <x v="51"/>
          </reference>
        </references>
      </pivotArea>
    </format>
    <format dxfId="95">
      <pivotArea dataOnly="0" labelOnly="1" outline="0" fieldPosition="0">
        <references count="1">
          <reference field="3" count="1">
            <x v="51"/>
          </reference>
        </references>
      </pivotArea>
    </format>
    <format dxfId="94">
      <pivotArea dataOnly="0" labelOnly="1" outline="0" fieldPosition="0">
        <references count="2">
          <reference field="1" count="1">
            <x v="42"/>
          </reference>
          <reference field="3" count="1" selected="0">
            <x v="51"/>
          </reference>
        </references>
      </pivotArea>
    </format>
    <format dxfId="93">
      <pivotArea outline="0" collapsedLevelsAreSubtotals="1" fieldPosition="0">
        <references count="2">
          <reference field="1" count="1" selected="0">
            <x v="53"/>
          </reference>
          <reference field="3" count="1" selected="0">
            <x v="62"/>
          </reference>
        </references>
      </pivotArea>
    </format>
    <format dxfId="92">
      <pivotArea dataOnly="0" labelOnly="1" outline="0" fieldPosition="0">
        <references count="1">
          <reference field="3" count="1">
            <x v="62"/>
          </reference>
        </references>
      </pivotArea>
    </format>
    <format dxfId="91">
      <pivotArea dataOnly="0" labelOnly="1" outline="0" fieldPosition="0">
        <references count="2">
          <reference field="1" count="1">
            <x v="53"/>
          </reference>
          <reference field="3" count="1" selected="0">
            <x v="62"/>
          </reference>
        </references>
      </pivotArea>
    </format>
    <format dxfId="90">
      <pivotArea outline="0" collapsedLevelsAreSubtotals="1" fieldPosition="0">
        <references count="1">
          <reference field="3" count="1" selected="0">
            <x v="69"/>
          </reference>
        </references>
      </pivotArea>
    </format>
    <format dxfId="89">
      <pivotArea outline="0" collapsedLevelsAreSubtotals="1" fieldPosition="0">
        <references count="2">
          <reference field="1" count="1" selected="0">
            <x v="28"/>
          </reference>
          <reference field="3" count="1" selected="0">
            <x v="68"/>
          </reference>
        </references>
      </pivotArea>
    </format>
    <format dxfId="88">
      <pivotArea outline="0" collapsedLevelsAreSubtotals="1" fieldPosition="0">
        <references count="2">
          <reference field="1" count="1" selected="0">
            <x v="27"/>
          </reference>
          <reference field="3" count="2" selected="0">
            <x v="66"/>
            <x v="67"/>
          </reference>
        </references>
      </pivotArea>
    </format>
    <format dxfId="87">
      <pivotArea dataOnly="0" labelOnly="1" outline="0" fieldPosition="0">
        <references count="2">
          <reference field="1" count="1">
            <x v="27"/>
          </reference>
          <reference field="3" count="1" selected="0">
            <x v="67"/>
          </reference>
        </references>
      </pivotArea>
    </format>
    <format dxfId="86">
      <pivotArea outline="0" collapsedLevelsAreSubtotals="1" fieldPosition="0"/>
    </format>
    <format dxfId="85">
      <pivotArea dataOnly="0" labelOnly="1" outline="0" fieldPosition="0">
        <references count="2">
          <reference field="1" count="2">
            <x v="34"/>
            <x v="48"/>
          </reference>
          <reference field="3" count="1" selected="0">
            <x v="1"/>
          </reference>
        </references>
      </pivotArea>
    </format>
    <format dxfId="84">
      <pivotArea dataOnly="0" labelOnly="1" outline="0" fieldPosition="0">
        <references count="2">
          <reference field="1" count="1">
            <x v="35"/>
          </reference>
          <reference field="3" count="1" selected="0">
            <x v="2"/>
          </reference>
        </references>
      </pivotArea>
    </format>
    <format dxfId="83">
      <pivotArea dataOnly="0" labelOnly="1" outline="0" fieldPosition="0">
        <references count="2">
          <reference field="1" count="2">
            <x v="2"/>
            <x v="49"/>
          </reference>
          <reference field="3" count="1" selected="0">
            <x v="3"/>
          </reference>
        </references>
      </pivotArea>
    </format>
    <format dxfId="82">
      <pivotArea dataOnly="0" labelOnly="1" outline="0" fieldPosition="0">
        <references count="2">
          <reference field="1" count="1">
            <x v="5"/>
          </reference>
          <reference field="3" count="1" selected="0">
            <x v="4"/>
          </reference>
        </references>
      </pivotArea>
    </format>
    <format dxfId="81">
      <pivotArea dataOnly="0" labelOnly="1" outline="0" fieldPosition="0">
        <references count="2">
          <reference field="1" count="2">
            <x v="1"/>
            <x v="50"/>
          </reference>
          <reference field="3" count="1" selected="0">
            <x v="5"/>
          </reference>
        </references>
      </pivotArea>
    </format>
    <format dxfId="80">
      <pivotArea dataOnly="0" labelOnly="1" outline="0" fieldPosition="0">
        <references count="2">
          <reference field="1" count="1">
            <x v="4"/>
          </reference>
          <reference field="3" count="1" selected="0">
            <x v="6"/>
          </reference>
        </references>
      </pivotArea>
    </format>
    <format dxfId="79">
      <pivotArea dataOnly="0" labelOnly="1" outline="0" fieldPosition="0">
        <references count="2">
          <reference field="1" count="1">
            <x v="9"/>
          </reference>
          <reference field="3" count="1" selected="0">
            <x v="7"/>
          </reference>
        </references>
      </pivotArea>
    </format>
    <format dxfId="78">
      <pivotArea dataOnly="0" labelOnly="1" outline="0" fieldPosition="0">
        <references count="2">
          <reference field="1" count="1">
            <x v="39"/>
          </reference>
          <reference field="3" count="1" selected="0">
            <x v="19"/>
          </reference>
        </references>
      </pivotArea>
    </format>
    <format dxfId="77">
      <pivotArea dataOnly="0" labelOnly="1" outline="0" fieldPosition="0">
        <references count="2">
          <reference field="1" count="1">
            <x v="12"/>
          </reference>
          <reference field="3" count="1" selected="0">
            <x v="22"/>
          </reference>
        </references>
      </pivotArea>
    </format>
    <format dxfId="76">
      <pivotArea dataOnly="0" labelOnly="1" outline="0" fieldPosition="0">
        <references count="2">
          <reference field="1" count="1">
            <x v="16"/>
          </reference>
          <reference field="3" count="1" selected="0">
            <x v="23"/>
          </reference>
        </references>
      </pivotArea>
    </format>
    <format dxfId="75">
      <pivotArea dataOnly="0" labelOnly="1" outline="0" fieldPosition="0">
        <references count="2">
          <reference field="1" count="1">
            <x v="52"/>
          </reference>
          <reference field="3" count="1" selected="0">
            <x v="25"/>
          </reference>
        </references>
      </pivotArea>
    </format>
    <format dxfId="74">
      <pivotArea dataOnly="0" labelOnly="1" outline="0" fieldPosition="0">
        <references count="2">
          <reference field="1" count="1">
            <x v="25"/>
          </reference>
          <reference field="3" count="1" selected="0">
            <x v="26"/>
          </reference>
        </references>
      </pivotArea>
    </format>
    <format dxfId="73">
      <pivotArea dataOnly="0" labelOnly="1" outline="0" fieldPosition="0">
        <references count="2">
          <reference field="1" count="1">
            <x v="23"/>
          </reference>
          <reference field="3" count="1" selected="0">
            <x v="31"/>
          </reference>
        </references>
      </pivotArea>
    </format>
    <format dxfId="72">
      <pivotArea dataOnly="0" labelOnly="1" outline="0" fieldPosition="0">
        <references count="2">
          <reference field="1" count="1">
            <x v="40"/>
          </reference>
          <reference field="3" count="1" selected="0">
            <x v="32"/>
          </reference>
        </references>
      </pivotArea>
    </format>
    <format dxfId="71">
      <pivotArea dataOnly="0" labelOnly="1" outline="0" fieldPosition="0">
        <references count="2">
          <reference field="1" count="1">
            <x v="36"/>
          </reference>
          <reference field="3" count="1" selected="0">
            <x v="33"/>
          </reference>
        </references>
      </pivotArea>
    </format>
    <format dxfId="70">
      <pivotArea dataOnly="0" labelOnly="1" outline="0" fieldPosition="0">
        <references count="2">
          <reference field="1" count="1">
            <x v="41"/>
          </reference>
          <reference field="3" count="1" selected="0">
            <x v="34"/>
          </reference>
        </references>
      </pivotArea>
    </format>
    <format dxfId="69">
      <pivotArea dataOnly="0" labelOnly="1" outline="0" fieldPosition="0">
        <references count="2">
          <reference field="1" count="1">
            <x v="14"/>
          </reference>
          <reference field="3" count="1" selected="0">
            <x v="46"/>
          </reference>
        </references>
      </pivotArea>
    </format>
    <format dxfId="68">
      <pivotArea dataOnly="0" labelOnly="1" outline="0" fieldPosition="0">
        <references count="2">
          <reference field="1" count="1">
            <x v="42"/>
          </reference>
          <reference field="3" count="1" selected="0">
            <x v="51"/>
          </reference>
        </references>
      </pivotArea>
    </format>
    <format dxfId="67">
      <pivotArea dataOnly="0" labelOnly="1" outline="0" fieldPosition="0">
        <references count="2">
          <reference field="1" count="1">
            <x v="16"/>
          </reference>
          <reference field="3" count="1" selected="0">
            <x v="47"/>
          </reference>
        </references>
      </pivotArea>
    </format>
    <format dxfId="66">
      <pivotArea dataOnly="0" labelOnly="1" outline="0" fieldPosition="0">
        <references count="2">
          <reference field="1" count="1">
            <x v="7"/>
          </reference>
          <reference field="3" count="1" selected="0">
            <x v="50"/>
          </reference>
        </references>
      </pivotArea>
    </format>
    <format dxfId="65">
      <pivotArea dataOnly="0" labelOnly="1" outline="0" fieldPosition="0">
        <references count="2">
          <reference field="1" count="1">
            <x v="37"/>
          </reference>
          <reference field="3" count="1" selected="0">
            <x v="52"/>
          </reference>
        </references>
      </pivotArea>
    </format>
    <format dxfId="64">
      <pivotArea dataOnly="0" labelOnly="1" outline="0" fieldPosition="0">
        <references count="2">
          <reference field="1" count="1">
            <x v="30"/>
          </reference>
          <reference field="3" count="1" selected="0">
            <x v="53"/>
          </reference>
        </references>
      </pivotArea>
    </format>
    <format dxfId="63">
      <pivotArea dataOnly="0" labelOnly="1" outline="0" fieldPosition="0">
        <references count="2">
          <reference field="1" count="1">
            <x v="11"/>
          </reference>
          <reference field="3" count="1" selected="0">
            <x v="54"/>
          </reference>
        </references>
      </pivotArea>
    </format>
    <format dxfId="62">
      <pivotArea dataOnly="0" labelOnly="1" outline="0" fieldPosition="0">
        <references count="2">
          <reference field="1" count="1">
            <x v="15"/>
          </reference>
          <reference field="3" count="1" selected="0">
            <x v="55"/>
          </reference>
        </references>
      </pivotArea>
    </format>
    <format dxfId="61">
      <pivotArea dataOnly="0" labelOnly="1" outline="0" fieldPosition="0">
        <references count="2">
          <reference field="1" count="1">
            <x v="38"/>
          </reference>
          <reference field="3" count="1" selected="0">
            <x v="56"/>
          </reference>
        </references>
      </pivotArea>
    </format>
    <format dxfId="60">
      <pivotArea dataOnly="0" labelOnly="1" outline="0" fieldPosition="0">
        <references count="2">
          <reference field="1" count="1">
            <x v="29"/>
          </reference>
          <reference field="3" count="1" selected="0">
            <x v="57"/>
          </reference>
        </references>
      </pivotArea>
    </format>
    <format dxfId="59">
      <pivotArea dataOnly="0" labelOnly="1" outline="0" fieldPosition="0">
        <references count="2">
          <reference field="1" count="1">
            <x v="10"/>
          </reference>
          <reference field="3" count="1" selected="0">
            <x v="58"/>
          </reference>
        </references>
      </pivotArea>
    </format>
    <format dxfId="58">
      <pivotArea dataOnly="0" labelOnly="1" outline="0" fieldPosition="0">
        <references count="2">
          <reference field="1" count="1">
            <x v="13"/>
          </reference>
          <reference field="3" count="1" selected="0">
            <x v="60"/>
          </reference>
        </references>
      </pivotArea>
    </format>
    <format dxfId="57">
      <pivotArea dataOnly="0" labelOnly="1" outline="0" fieldPosition="0">
        <references count="2">
          <reference field="1" count="1">
            <x v="43"/>
          </reference>
          <reference field="3" count="1" selected="0">
            <x v="61"/>
          </reference>
        </references>
      </pivotArea>
    </format>
    <format dxfId="56">
      <pivotArea dataOnly="0" labelOnly="1" outline="0" fieldPosition="0">
        <references count="2">
          <reference field="1" count="1">
            <x v="53"/>
          </reference>
          <reference field="3" count="1" selected="0">
            <x v="62"/>
          </reference>
        </references>
      </pivotArea>
    </format>
    <format dxfId="55">
      <pivotArea dataOnly="0" labelOnly="1" outline="0" fieldPosition="0">
        <references count="2">
          <reference field="1" count="1">
            <x v="22"/>
          </reference>
          <reference field="3" count="1" selected="0">
            <x v="64"/>
          </reference>
        </references>
      </pivotArea>
    </format>
    <format dxfId="54">
      <pivotArea dataOnly="0" labelOnly="1" outline="0" fieldPosition="0">
        <references count="2">
          <reference field="1" count="1">
            <x v="27"/>
          </reference>
          <reference field="3" count="1" selected="0">
            <x v="67"/>
          </reference>
        </references>
      </pivotArea>
    </format>
    <format dxfId="53">
      <pivotArea dataOnly="0" labelOnly="1" outline="0" fieldPosition="0">
        <references count="2">
          <reference field="1" count="1">
            <x v="28"/>
          </reference>
          <reference field="3" count="1" selected="0">
            <x v="68"/>
          </reference>
        </references>
      </pivotArea>
    </format>
    <format dxfId="52">
      <pivotArea dataOnly="0" labelOnly="1" outline="0" fieldPosition="0">
        <references count="2">
          <reference field="1" count="1">
            <x v="19"/>
          </reference>
          <reference field="3" count="1" selected="0">
            <x v="69"/>
          </reference>
        </references>
      </pivotArea>
    </format>
    <format dxfId="51">
      <pivotArea dataOnly="0" labelOnly="1" outline="0" fieldPosition="0">
        <references count="1">
          <reference field="3" count="13"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</reference>
        </references>
      </pivotArea>
    </format>
    <format dxfId="50">
      <pivotArea field="2" type="button" dataOnly="0" labelOnly="1" outline="0" axis="axisPage" fieldPosition="0"/>
    </format>
    <format dxfId="49">
      <pivotArea field="3" type="button" dataOnly="0" labelOnly="1" outline="0" axis="axisRow" fieldPosition="0"/>
    </format>
    <format dxfId="48">
      <pivotArea dataOnly="0" labelOnly="1" outline="0" fieldPosition="0">
        <references count="1">
          <reference field="3" count="40">
            <x v="1"/>
            <x v="2"/>
            <x v="3"/>
            <x v="4"/>
            <x v="5"/>
            <x v="6"/>
            <x v="7"/>
            <x v="19"/>
            <x v="20"/>
            <x v="21"/>
            <x v="22"/>
            <x v="23"/>
            <x v="24"/>
            <x v="25"/>
            <x v="26"/>
            <x v="27"/>
            <x v="28"/>
            <x v="31"/>
            <x v="32"/>
            <x v="33"/>
            <x v="34"/>
            <x v="43"/>
            <x v="45"/>
            <x v="46"/>
            <x v="47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</reference>
        </references>
      </pivotArea>
    </format>
    <format dxfId="47">
      <pivotArea dataOnly="0" labelOnly="1" outline="0" fieldPosition="0">
        <references count="1">
          <reference field="3" count="5">
            <x v="65"/>
            <x v="66"/>
            <x v="67"/>
            <x v="68"/>
            <x v="69"/>
          </reference>
        </references>
      </pivotArea>
    </format>
    <format dxfId="46">
      <pivotArea outline="0" fieldPosition="0">
        <references count="1">
          <reference field="4294967294" count="1">
            <x v="0"/>
          </reference>
        </references>
      </pivotArea>
    </format>
    <format dxfId="45">
      <pivotArea outline="0" fieldPosition="0">
        <references count="2">
          <reference field="1" count="3" selected="0">
            <x v="34"/>
            <x v="35"/>
            <x v="48"/>
          </reference>
          <reference field="3" count="2" selected="0">
            <x v="1"/>
            <x v="2"/>
          </reference>
        </references>
      </pivotArea>
    </format>
    <format dxfId="44">
      <pivotArea outline="0" fieldPosition="0">
        <references count="2">
          <reference field="1" count="3" selected="0">
            <x v="2"/>
            <x v="5"/>
            <x v="49"/>
          </reference>
          <reference field="3" count="2" selected="0">
            <x v="3"/>
            <x v="4"/>
          </reference>
        </references>
      </pivotArea>
    </format>
    <format dxfId="43">
      <pivotArea outline="0" fieldPosition="0">
        <references count="2">
          <reference field="1" count="3" selected="0">
            <x v="1"/>
            <x v="4"/>
            <x v="50"/>
          </reference>
          <reference field="3" count="2" selected="0">
            <x v="5"/>
            <x v="6"/>
          </reference>
        </references>
      </pivotArea>
    </format>
    <format dxfId="42">
      <pivotArea outline="0" fieldPosition="0">
        <references count="2">
          <reference field="1" count="1" selected="0">
            <x v="9"/>
          </reference>
          <reference field="3" count="1" selected="0">
            <x v="7"/>
          </reference>
        </references>
      </pivotArea>
    </format>
    <format dxfId="41">
      <pivotArea outline="0" fieldPosition="0">
        <references count="2">
          <reference field="1" count="1" selected="0">
            <x v="24"/>
          </reference>
          <reference field="3" count="1" selected="0">
            <x v="8"/>
          </reference>
        </references>
      </pivotArea>
    </format>
    <format dxfId="40">
      <pivotArea outline="0" fieldPosition="0">
        <references count="2">
          <reference field="1" count="1" selected="0">
            <x v="57"/>
          </reference>
          <reference field="3" count="1" selected="0">
            <x v="9"/>
          </reference>
        </references>
      </pivotArea>
    </format>
    <format dxfId="39">
      <pivotArea outline="0" fieldPosition="0">
        <references count="2">
          <reference field="1" count="12" selected="0">
            <x v="1"/>
            <x v="2"/>
            <x v="4"/>
            <x v="5"/>
            <x v="9"/>
            <x v="24"/>
            <x v="34"/>
            <x v="35"/>
            <x v="48"/>
            <x v="49"/>
            <x v="50"/>
            <x v="57"/>
          </reference>
          <reference field="3" count="9" selected="0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38">
      <pivotArea outline="0" fieldPosition="0">
        <references count="2">
          <reference field="1" count="2" selected="0">
            <x v="7"/>
            <x v="64"/>
          </reference>
          <reference field="3" count="2" selected="0">
            <x v="49"/>
            <x v="50"/>
          </reference>
        </references>
      </pivotArea>
    </format>
    <format dxfId="37">
      <pivotArea outline="0" fieldPosition="0">
        <references count="2">
          <reference field="1" count="1" selected="0">
            <x v="40"/>
          </reference>
          <reference field="3" count="1" selected="0">
            <x v="32"/>
          </reference>
        </references>
      </pivotArea>
    </format>
    <format dxfId="36">
      <pivotArea dataOnly="0" labelOnly="1" outline="0" fieldPosition="0">
        <references count="1">
          <reference field="3" count="1">
            <x v="32"/>
          </reference>
        </references>
      </pivotArea>
    </format>
    <format dxfId="35">
      <pivotArea dataOnly="0" labelOnly="1" outline="0" fieldPosition="0">
        <references count="2">
          <reference field="1" count="1">
            <x v="40"/>
          </reference>
          <reference field="3" count="1" selected="0">
            <x v="32"/>
          </reference>
        </references>
      </pivotArea>
    </format>
    <format dxfId="34">
      <pivotArea outline="0" fieldPosition="0">
        <references count="1">
          <reference field="3" count="5" selected="0">
            <x v="10"/>
            <x v="11"/>
            <x v="29"/>
            <x v="30"/>
            <x v="71"/>
          </reference>
        </references>
      </pivotArea>
    </format>
    <format dxfId="33">
      <pivotArea dataOnly="0" labelOnly="1" outline="0" fieldPosition="0">
        <references count="1">
          <reference field="3" count="5">
            <x v="10"/>
            <x v="11"/>
            <x v="29"/>
            <x v="30"/>
            <x v="71"/>
          </reference>
        </references>
      </pivotArea>
    </format>
    <format dxfId="32">
      <pivotArea dataOnly="0" labelOnly="1" outline="0" fieldPosition="0">
        <references count="2">
          <reference field="1" count="1">
            <x v="79"/>
          </reference>
          <reference field="3" count="1" selected="0">
            <x v="10"/>
          </reference>
        </references>
      </pivotArea>
    </format>
    <format dxfId="31">
      <pivotArea dataOnly="0" labelOnly="1" outline="0" fieldPosition="0">
        <references count="2">
          <reference field="1" count="1">
            <x v="80"/>
          </reference>
          <reference field="3" count="1" selected="0">
            <x v="11"/>
          </reference>
        </references>
      </pivotArea>
    </format>
    <format dxfId="30">
      <pivotArea dataOnly="0" labelOnly="1" outline="0" fieldPosition="0">
        <references count="2">
          <reference field="1" count="1">
            <x v="26"/>
          </reference>
          <reference field="3" count="1" selected="0">
            <x v="29"/>
          </reference>
        </references>
      </pivotArea>
    </format>
    <format dxfId="29">
      <pivotArea dataOnly="0" labelOnly="1" outline="0" fieldPosition="0">
        <references count="2">
          <reference field="1" count="1">
            <x v="86"/>
          </reference>
          <reference field="3" count="1" selected="0">
            <x v="30"/>
          </reference>
        </references>
      </pivotArea>
    </format>
    <format dxfId="28">
      <pivotArea dataOnly="0" labelOnly="1" outline="0" fieldPosition="0">
        <references count="2">
          <reference field="1" count="1">
            <x v="87"/>
          </reference>
          <reference field="3" count="1" selected="0">
            <x v="71"/>
          </reference>
        </references>
      </pivotArea>
    </format>
    <format dxfId="27">
      <pivotArea outline="0" fieldPosition="0">
        <references count="1">
          <reference field="3" count="1" selected="0">
            <x v="44"/>
          </reference>
        </references>
      </pivotArea>
    </format>
    <format dxfId="26">
      <pivotArea dataOnly="0" labelOnly="1" outline="0" fieldPosition="0">
        <references count="1">
          <reference field="3" count="1">
            <x v="44"/>
          </reference>
        </references>
      </pivotArea>
    </format>
    <format dxfId="25">
      <pivotArea dataOnly="0" labelOnly="1" outline="0" fieldPosition="0">
        <references count="2">
          <reference field="1" count="1">
            <x v="93"/>
          </reference>
          <reference field="3" count="1" selected="0">
            <x v="44"/>
          </reference>
        </references>
      </pivotArea>
    </format>
    <format dxfId="24">
      <pivotArea outline="0" fieldPosition="0">
        <references count="2">
          <reference field="1" count="1" selected="0">
            <x v="93"/>
          </reference>
          <reference field="3" count="1" selected="0">
            <x v="44"/>
          </reference>
        </references>
      </pivotArea>
    </format>
    <format dxfId="23">
      <pivotArea dataOnly="0" labelOnly="1" outline="0" fieldPosition="0">
        <references count="1">
          <reference field="3" count="1">
            <x v="44"/>
          </reference>
        </references>
      </pivotArea>
    </format>
    <format dxfId="22">
      <pivotArea dataOnly="0" labelOnly="1" outline="0" fieldPosition="0">
        <references count="2">
          <reference field="1" count="1">
            <x v="93"/>
          </reference>
          <reference field="3" count="1" selected="0">
            <x v="44"/>
          </reference>
        </references>
      </pivotArea>
    </format>
    <format dxfId="21">
      <pivotArea outline="0" fieldPosition="0">
        <references count="2">
          <reference field="1" count="2" selected="0">
            <x v="26"/>
            <x v="86"/>
          </reference>
          <reference field="3" count="2" selected="0">
            <x v="29"/>
            <x v="30"/>
          </reference>
        </references>
      </pivotArea>
    </format>
    <format dxfId="20">
      <pivotArea dataOnly="0" labelOnly="1" outline="0" fieldPosition="0">
        <references count="1">
          <reference field="3" count="2">
            <x v="29"/>
            <x v="30"/>
          </reference>
        </references>
      </pivotArea>
    </format>
    <format dxfId="19">
      <pivotArea dataOnly="0" labelOnly="1" outline="0" fieldPosition="0">
        <references count="2">
          <reference field="1" count="1">
            <x v="26"/>
          </reference>
          <reference field="3" count="1" selected="0">
            <x v="29"/>
          </reference>
        </references>
      </pivotArea>
    </format>
    <format dxfId="18">
      <pivotArea dataOnly="0" labelOnly="1" outline="0" fieldPosition="0">
        <references count="2">
          <reference field="1" count="1">
            <x v="86"/>
          </reference>
          <reference field="3" count="1" selected="0">
            <x v="30"/>
          </reference>
        </references>
      </pivotArea>
    </format>
    <format dxfId="17">
      <pivotArea outline="0" fieldPosition="0">
        <references count="2">
          <reference field="1" count="2" selected="0">
            <x v="79"/>
            <x v="80"/>
          </reference>
          <reference field="3" count="2" selected="0">
            <x v="10"/>
            <x v="11"/>
          </reference>
        </references>
      </pivotArea>
    </format>
    <format dxfId="16">
      <pivotArea dataOnly="0" labelOnly="1" outline="0" fieldPosition="0">
        <references count="1">
          <reference field="3" count="2">
            <x v="10"/>
            <x v="11"/>
          </reference>
        </references>
      </pivotArea>
    </format>
    <format dxfId="15">
      <pivotArea dataOnly="0" labelOnly="1" outline="0" fieldPosition="0">
        <references count="2">
          <reference field="1" count="1">
            <x v="79"/>
          </reference>
          <reference field="3" count="1" selected="0">
            <x v="10"/>
          </reference>
        </references>
      </pivotArea>
    </format>
    <format dxfId="14">
      <pivotArea dataOnly="0" labelOnly="1" outline="0" fieldPosition="0">
        <references count="2">
          <reference field="1" count="1">
            <x v="80"/>
          </reference>
          <reference field="3" count="1" selected="0">
            <x v="1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Kimutatás3" cacheId="2" applyNumberFormats="0" applyBorderFormats="0" applyFontFormats="0" applyPatternFormats="0" applyAlignmentFormats="0" applyWidthHeightFormats="1" dataCaption="Értékek" updatedVersion="6" minRefreshableVersion="3" useAutoFormatting="1" rowGrandTotals="0" colGrandTotals="0" itemPrintTitles="1" createdVersion="6" indent="0" compact="0" compactData="0" multipleFieldFilters="0">
  <location ref="A1:B125" firstHeaderRow="1" firstDataRow="1" firstDataCol="2"/>
  <pivotFields count="54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sortType="ascending">
      <items count="12">
        <item h="1" m="1" x="10"/>
        <item x="7"/>
        <item x="3"/>
        <item h="1" x="9"/>
        <item h="1" x="1"/>
        <item h="1" x="2"/>
        <item h="1" x="8"/>
        <item h="1" x="5"/>
        <item h="1" x="4"/>
        <item h="1" x="6"/>
        <item h="1"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multipleItemSelectionAllowed="1" showAll="0">
      <items count="228"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5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1"/>
        <item x="7"/>
        <item x="79"/>
        <item m="1" x="215"/>
        <item x="6"/>
        <item x="65"/>
        <item x="63"/>
        <item x="85"/>
        <item x="209"/>
        <item x="8"/>
        <item x="1"/>
        <item x="60"/>
        <item x="83"/>
        <item x="62"/>
        <item x="3"/>
        <item x="70"/>
        <item x="66"/>
        <item x="64"/>
        <item x="2"/>
        <item x="69"/>
        <item x="210"/>
        <item x="68"/>
        <item m="1" x="213"/>
        <item x="4"/>
        <item x="80"/>
        <item h="1" x="0"/>
        <item h="1" x="81"/>
        <item h="1" x="73"/>
        <item h="1" x="74"/>
        <item h="1" m="1" x="220"/>
        <item h="1" m="1" x="217"/>
        <item h="1" m="1" x="216"/>
        <item h="1" m="1" x="214"/>
        <item h="1" m="1" x="212"/>
        <item h="1" m="1" x="226"/>
        <item h="1" m="1" x="225"/>
        <item h="1" m="1" x="224"/>
        <item h="1" x="141"/>
        <item h="1" x="142"/>
        <item h="1" x="143"/>
        <item h="1" x="144"/>
        <item h="1" x="145"/>
        <item h="1" x="146"/>
        <item h="1" x="147"/>
        <item h="1" x="148"/>
        <item h="1" x="149"/>
        <item h="1" x="150"/>
        <item h="1" x="151"/>
        <item h="1" x="152"/>
        <item h="1" x="153"/>
        <item h="1" x="154"/>
        <item h="1" x="155"/>
        <item h="1" x="156"/>
        <item h="1" x="157"/>
        <item h="1" x="158"/>
        <item h="1" x="159"/>
        <item h="1" x="160"/>
        <item h="1" x="161"/>
        <item h="1" x="139"/>
        <item h="1" x="162"/>
        <item h="1" x="163"/>
        <item h="1" x="164"/>
        <item h="1" x="165"/>
        <item h="1" x="166"/>
        <item h="1" x="167"/>
        <item h="1" x="168"/>
        <item h="1" x="169"/>
        <item h="1" x="170"/>
        <item h="1" x="171"/>
        <item h="1" x="172"/>
        <item h="1" x="173"/>
        <item h="1" x="174"/>
        <item h="1" x="175"/>
        <item h="1" x="176"/>
        <item h="1" x="177"/>
        <item h="1" x="178"/>
        <item h="1" x="179"/>
        <item h="1" x="180"/>
        <item h="1" x="181"/>
        <item h="1" x="182"/>
        <item h="1" x="183"/>
        <item h="1" x="184"/>
        <item h="1" x="185"/>
        <item h="1" x="186"/>
        <item h="1" x="187"/>
        <item h="1" x="188"/>
        <item h="1" x="189"/>
        <item h="1" x="190"/>
        <item h="1" x="191"/>
        <item h="1" x="192"/>
        <item h="1" x="193"/>
        <item h="1" x="194"/>
        <item h="1" x="195"/>
        <item h="1" x="196"/>
        <item h="1" x="197"/>
        <item h="1" x="198"/>
        <item h="1" x="199"/>
        <item h="1" x="140"/>
        <item h="1" x="200"/>
        <item h="1" x="201"/>
        <item h="1" x="202"/>
        <item h="1" x="203"/>
        <item h="1" x="204"/>
        <item h="1" x="205"/>
        <item h="1" x="77"/>
        <item h="1" x="78"/>
        <item h="1" x="71"/>
        <item h="1" x="72"/>
        <item h="1" x="67"/>
        <item h="1" x="207"/>
        <item h="1" m="1" x="223"/>
        <item h="1" m="1" x="222"/>
        <item h="1" m="1" x="221"/>
        <item h="1" x="208"/>
        <item h="1" m="1" x="218"/>
        <item h="1" m="1" x="211"/>
        <item h="1" x="76"/>
        <item h="1" x="75"/>
        <item h="1" m="1" x="219"/>
        <item h="1" x="206"/>
        <item h="1" x="82"/>
        <item h="1" x="84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5"/>
    <field x="6"/>
  </rowFields>
  <rowItems count="124"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 r="1">
      <x v="47"/>
    </i>
    <i r="1">
      <x v="48"/>
    </i>
    <i r="1">
      <x v="49"/>
    </i>
    <i r="1">
      <x v="50"/>
    </i>
    <i r="1">
      <x v="51"/>
    </i>
    <i r="1">
      <x v="52"/>
    </i>
    <i t="default">
      <x v="1"/>
    </i>
    <i>
      <x v="2"/>
      <x v="53"/>
    </i>
    <i r="1">
      <x v="54"/>
    </i>
    <i r="1">
      <x v="55"/>
    </i>
    <i r="1">
      <x v="56"/>
    </i>
    <i r="1">
      <x v="57"/>
    </i>
    <i r="1">
      <x v="58"/>
    </i>
    <i r="1">
      <x v="59"/>
    </i>
    <i r="1">
      <x v="60"/>
    </i>
    <i r="1">
      <x v="61"/>
    </i>
    <i r="1">
      <x v="62"/>
    </i>
    <i r="1">
      <x v="63"/>
    </i>
    <i r="1">
      <x v="64"/>
    </i>
    <i r="1">
      <x v="65"/>
    </i>
    <i r="1">
      <x v="66"/>
    </i>
    <i r="1">
      <x v="67"/>
    </i>
    <i r="1">
      <x v="68"/>
    </i>
    <i r="1">
      <x v="69"/>
    </i>
    <i r="1">
      <x v="70"/>
    </i>
    <i r="1">
      <x v="71"/>
    </i>
    <i r="1">
      <x v="72"/>
    </i>
    <i r="1">
      <x v="73"/>
    </i>
    <i r="1">
      <x v="74"/>
    </i>
    <i r="1">
      <x v="75"/>
    </i>
    <i r="1">
      <x v="76"/>
    </i>
    <i r="1">
      <x v="77"/>
    </i>
    <i r="1">
      <x v="78"/>
    </i>
    <i r="1">
      <x v="79"/>
    </i>
    <i r="1">
      <x v="80"/>
    </i>
    <i r="1">
      <x v="81"/>
    </i>
    <i r="1">
      <x v="82"/>
    </i>
    <i r="1">
      <x v="83"/>
    </i>
    <i r="1">
      <x v="84"/>
    </i>
    <i r="1">
      <x v="85"/>
    </i>
    <i r="1">
      <x v="86"/>
    </i>
    <i r="1">
      <x v="87"/>
    </i>
    <i r="1">
      <x v="88"/>
    </i>
    <i r="1">
      <x v="89"/>
    </i>
    <i r="1">
      <x v="90"/>
    </i>
    <i r="1">
      <x v="91"/>
    </i>
    <i r="1">
      <x v="92"/>
    </i>
    <i r="1">
      <x v="93"/>
    </i>
    <i r="1">
      <x v="94"/>
    </i>
    <i r="1">
      <x v="95"/>
    </i>
    <i r="1">
      <x v="96"/>
    </i>
    <i r="1">
      <x v="97"/>
    </i>
    <i r="1">
      <x v="98"/>
    </i>
    <i r="1">
      <x v="99"/>
    </i>
    <i r="1">
      <x v="100"/>
    </i>
    <i r="1">
      <x v="101"/>
    </i>
    <i r="1">
      <x v="102"/>
    </i>
    <i r="1">
      <x v="103"/>
    </i>
    <i r="1">
      <x v="104"/>
    </i>
    <i r="1">
      <x v="105"/>
    </i>
    <i r="1">
      <x v="106"/>
    </i>
    <i r="1">
      <x v="107"/>
    </i>
    <i r="1">
      <x v="110"/>
    </i>
    <i r="1">
      <x v="111"/>
    </i>
    <i r="1">
      <x v="112"/>
    </i>
    <i r="1">
      <x v="113"/>
    </i>
    <i r="1">
      <x v="114"/>
    </i>
    <i r="1">
      <x v="116"/>
    </i>
    <i r="1">
      <x v="118"/>
    </i>
    <i r="1">
      <x v="119"/>
    </i>
    <i r="1">
      <x v="121"/>
    </i>
    <i r="1">
      <x v="122"/>
    </i>
    <i r="1">
      <x v="124"/>
    </i>
    <i r="1">
      <x v="125"/>
    </i>
    <i r="1">
      <x v="128"/>
    </i>
    <i r="1">
      <x v="129"/>
    </i>
    <i t="default">
      <x v="2"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Kimutatás3" cacheId="0" applyNumberFormats="0" applyBorderFormats="0" applyFontFormats="0" applyPatternFormats="0" applyAlignmentFormats="0" applyWidthHeightFormats="1" dataCaption="Értékek" updatedVersion="6" minRefreshableVersion="3" useAutoFormatting="1" rowGrandTotals="0" colGrandTotals="0" itemPrintTitles="1" createdVersion="6" indent="0" compact="0" compactData="0" multipleFieldFilters="0">
  <location ref="A3:C4" firstHeaderRow="0" firstDataRow="1" firstDataCol="0"/>
  <pivotFields count="12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multipleItemSelectionAllowed="1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Items count="1">
    <i/>
  </rowItems>
  <colFields count="1">
    <field x="-2"/>
  </colFields>
  <colItems count="3">
    <i>
      <x/>
    </i>
    <i i="1">
      <x v="1"/>
    </i>
    <i i="2">
      <x v="2"/>
    </i>
  </colItems>
  <dataFields count="3">
    <dataField name="Összeg / KARI főcsoport ÖSSZESEN" fld="9" baseField="1" baseItem="53"/>
    <dataField name="Összeg / TERVEZÉS ÖSSZESEN (karon kívülre átadásnál 0)" fld="11" baseField="1" baseItem="30"/>
    <dataField name="Összeg / Eltérés" fld="10" baseField="1" baseItem="60"/>
  </dataFields>
  <formats count="2">
    <format dxfId="1">
      <pivotArea outline="0" collapsedLevelsAreSubtotals="1" fieldPosition="0"/>
    </format>
    <format dxfId="0">
      <pivotArea dataOnly="0" labelOnly="1" outline="0" fieldPosition="0">
        <references count="1">
          <reference field="4294967294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C000"/>
  </sheetPr>
  <dimension ref="A3:U251"/>
  <sheetViews>
    <sheetView topLeftCell="A3" zoomScale="70" zoomScaleNormal="70" workbookViewId="0">
      <pane xSplit="2" ySplit="4" topLeftCell="C7" activePane="bottomRight" state="frozen"/>
      <selection activeCell="A3" sqref="A3"/>
      <selection pane="topRight" activeCell="C3" sqref="C3"/>
      <selection pane="bottomLeft" activeCell="A7" sqref="A7"/>
      <selection pane="bottomRight" activeCell="E236" sqref="E236"/>
    </sheetView>
  </sheetViews>
  <sheetFormatPr defaultColWidth="8.88671875" defaultRowHeight="14.4" x14ac:dyDescent="0.3"/>
  <cols>
    <col min="1" max="1" width="7.33203125" style="247" customWidth="1"/>
    <col min="2" max="2" width="56.44140625" style="247" bestFit="1" customWidth="1"/>
    <col min="3" max="3" width="13.88671875" style="247" bestFit="1" customWidth="1"/>
    <col min="4" max="4" width="15.88671875" style="247" bestFit="1" customWidth="1"/>
    <col min="5" max="5" width="13.33203125" style="247" bestFit="1" customWidth="1"/>
    <col min="6" max="6" width="13.44140625" style="247" bestFit="1" customWidth="1"/>
    <col min="7" max="7" width="16.21875" style="247" bestFit="1" customWidth="1"/>
    <col min="8" max="8" width="13.109375" style="247" bestFit="1" customWidth="1"/>
    <col min="9" max="9" width="15.77734375" style="247" bestFit="1" customWidth="1"/>
    <col min="10" max="10" width="14.6640625" style="247" bestFit="1" customWidth="1"/>
    <col min="11" max="11" width="17.109375" style="247" bestFit="1" customWidth="1"/>
    <col min="12" max="12" width="14.88671875" style="247" bestFit="1" customWidth="1"/>
    <col min="13" max="13" width="18" style="247" bestFit="1" customWidth="1"/>
    <col min="14" max="14" width="16" style="247" bestFit="1" customWidth="1"/>
    <col min="15" max="15" width="11.44140625" style="247" bestFit="1" customWidth="1"/>
    <col min="16" max="16" width="13.88671875" style="247" bestFit="1" customWidth="1"/>
    <col min="17" max="17" width="14.21875" style="247" bestFit="1" customWidth="1"/>
    <col min="18" max="18" width="17.77734375" style="247" bestFit="1" customWidth="1"/>
    <col min="19" max="19" width="11.21875" style="247" bestFit="1" customWidth="1"/>
    <col min="20" max="20" width="15.109375" style="247" bestFit="1" customWidth="1"/>
    <col min="21" max="21" width="13.77734375" style="247" bestFit="1" customWidth="1"/>
    <col min="22" max="16384" width="8.88671875" style="247"/>
  </cols>
  <sheetData>
    <row r="3" spans="1:21" x14ac:dyDescent="0.3">
      <c r="C3" s="247" t="s">
        <v>2886</v>
      </c>
      <c r="D3" s="247" t="s">
        <v>2889</v>
      </c>
      <c r="E3" s="247" t="s">
        <v>2890</v>
      </c>
      <c r="F3" s="247" t="s">
        <v>2911</v>
      </c>
      <c r="G3" s="311"/>
      <c r="H3" s="311"/>
      <c r="I3" s="311" t="s">
        <v>2883</v>
      </c>
      <c r="J3" s="311" t="s">
        <v>93</v>
      </c>
      <c r="K3" s="311" t="s">
        <v>94</v>
      </c>
      <c r="L3" s="311" t="s">
        <v>97</v>
      </c>
      <c r="M3" s="311" t="s">
        <v>98</v>
      </c>
      <c r="N3" s="311" t="s">
        <v>110</v>
      </c>
      <c r="O3" s="311" t="s">
        <v>763</v>
      </c>
      <c r="P3" s="311" t="s">
        <v>765</v>
      </c>
      <c r="Q3" s="311" t="s">
        <v>767</v>
      </c>
      <c r="R3" s="311" t="s">
        <v>768</v>
      </c>
      <c r="S3" s="311" t="s">
        <v>2882</v>
      </c>
      <c r="T3" s="311" t="s">
        <v>2913</v>
      </c>
    </row>
    <row r="4" spans="1:21" x14ac:dyDescent="0.3">
      <c r="C4" s="247" t="s">
        <v>2887</v>
      </c>
      <c r="D4" s="247" t="s">
        <v>2637</v>
      </c>
      <c r="E4" s="247" t="s">
        <v>2909</v>
      </c>
      <c r="F4" s="247" t="s">
        <v>2909</v>
      </c>
      <c r="G4" s="311"/>
      <c r="H4" s="311"/>
      <c r="I4" s="311" t="s">
        <v>2909</v>
      </c>
      <c r="J4" s="311" t="s">
        <v>2909</v>
      </c>
      <c r="K4" s="311" t="s">
        <v>2909</v>
      </c>
      <c r="L4" s="311" t="s">
        <v>2909</v>
      </c>
      <c r="M4" s="311" t="s">
        <v>2909</v>
      </c>
      <c r="N4" s="311" t="s">
        <v>2909</v>
      </c>
      <c r="O4" s="311" t="s">
        <v>2909</v>
      </c>
      <c r="P4" s="311" t="s">
        <v>2909</v>
      </c>
      <c r="Q4" s="311" t="s">
        <v>2909</v>
      </c>
      <c r="R4" s="311" t="s">
        <v>2909</v>
      </c>
      <c r="S4" s="311" t="s">
        <v>2909</v>
      </c>
      <c r="T4" s="311" t="s">
        <v>2909</v>
      </c>
    </row>
    <row r="5" spans="1:21" s="248" customFormat="1" x14ac:dyDescent="0.3">
      <c r="A5" s="304"/>
      <c r="B5" s="304"/>
      <c r="C5" s="305" t="s">
        <v>2931</v>
      </c>
      <c r="D5" s="304"/>
      <c r="E5" s="304"/>
      <c r="F5" s="304"/>
      <c r="G5" s="312"/>
      <c r="H5" s="312"/>
      <c r="I5" s="312"/>
      <c r="J5" s="312"/>
      <c r="K5" s="312"/>
      <c r="L5" s="312"/>
      <c r="M5" s="312"/>
      <c r="N5" s="312"/>
      <c r="O5" s="312"/>
      <c r="P5" s="312"/>
      <c r="Q5" s="312"/>
      <c r="R5" s="312"/>
      <c r="S5" s="312"/>
      <c r="T5" s="312"/>
    </row>
    <row r="6" spans="1:21" s="248" customFormat="1" ht="57.6" x14ac:dyDescent="0.3">
      <c r="A6" s="305" t="s">
        <v>59</v>
      </c>
      <c r="B6" s="305" t="s">
        <v>117</v>
      </c>
      <c r="C6" s="304" t="s">
        <v>2928</v>
      </c>
      <c r="D6" s="304" t="s">
        <v>2929</v>
      </c>
      <c r="E6" s="304" t="s">
        <v>2930</v>
      </c>
      <c r="F6" s="304" t="s">
        <v>2934</v>
      </c>
      <c r="G6" s="312" t="s">
        <v>2932</v>
      </c>
      <c r="H6" s="312" t="s">
        <v>2933</v>
      </c>
      <c r="I6" s="312" t="s">
        <v>2935</v>
      </c>
      <c r="J6" s="312" t="s">
        <v>2936</v>
      </c>
      <c r="K6" s="312" t="s">
        <v>2937</v>
      </c>
      <c r="L6" s="312" t="s">
        <v>2938</v>
      </c>
      <c r="M6" s="312" t="s">
        <v>2939</v>
      </c>
      <c r="N6" s="312" t="s">
        <v>2940</v>
      </c>
      <c r="O6" s="312" t="s">
        <v>2941</v>
      </c>
      <c r="P6" s="312" t="s">
        <v>2942</v>
      </c>
      <c r="Q6" s="312" t="s">
        <v>2943</v>
      </c>
      <c r="R6" s="312" t="s">
        <v>2944</v>
      </c>
      <c r="S6" s="312" t="s">
        <v>2945</v>
      </c>
      <c r="T6" s="312" t="s">
        <v>2946</v>
      </c>
      <c r="U6" s="243" t="s">
        <v>2947</v>
      </c>
    </row>
    <row r="7" spans="1:21" hidden="1" x14ac:dyDescent="0.3">
      <c r="A7" s="306">
        <v>1</v>
      </c>
      <c r="B7" s="306" t="s">
        <v>2669</v>
      </c>
      <c r="C7" s="307"/>
      <c r="D7" s="308"/>
      <c r="E7" s="308"/>
      <c r="F7" s="308"/>
      <c r="G7" s="308"/>
      <c r="H7" s="308"/>
      <c r="I7" s="308"/>
      <c r="J7" s="308"/>
      <c r="K7" s="308"/>
      <c r="L7" s="308"/>
      <c r="M7" s="308"/>
      <c r="N7" s="308"/>
      <c r="O7" s="308"/>
      <c r="P7" s="308"/>
      <c r="Q7" s="308"/>
      <c r="R7" s="308"/>
      <c r="S7" s="308"/>
      <c r="T7" s="308"/>
      <c r="U7" s="244">
        <f>SUM(C7:T7)</f>
        <v>0</v>
      </c>
    </row>
    <row r="8" spans="1:21" hidden="1" x14ac:dyDescent="0.3">
      <c r="A8" s="306">
        <v>5.13</v>
      </c>
      <c r="B8" s="306">
        <v>15.13</v>
      </c>
      <c r="C8" s="307">
        <v>0</v>
      </c>
      <c r="D8" s="308">
        <v>0</v>
      </c>
      <c r="E8" s="308">
        <v>0</v>
      </c>
      <c r="F8" s="308">
        <v>0</v>
      </c>
      <c r="G8" s="308">
        <v>0</v>
      </c>
      <c r="H8" s="308">
        <v>0</v>
      </c>
      <c r="I8" s="308">
        <v>0</v>
      </c>
      <c r="J8" s="308">
        <v>0</v>
      </c>
      <c r="K8" s="308">
        <v>0</v>
      </c>
      <c r="L8" s="308">
        <v>0</v>
      </c>
      <c r="M8" s="308">
        <v>0</v>
      </c>
      <c r="N8" s="308">
        <v>0</v>
      </c>
      <c r="O8" s="308">
        <v>0</v>
      </c>
      <c r="P8" s="308">
        <v>0</v>
      </c>
      <c r="Q8" s="308">
        <v>0</v>
      </c>
      <c r="R8" s="308">
        <v>0</v>
      </c>
      <c r="S8" s="308">
        <v>0</v>
      </c>
      <c r="T8" s="308">
        <v>0</v>
      </c>
      <c r="U8" s="244">
        <f t="shared" ref="U8:U71" si="0">SUM(C8:T8)</f>
        <v>0</v>
      </c>
    </row>
    <row r="9" spans="1:21" hidden="1" x14ac:dyDescent="0.3">
      <c r="A9" s="306">
        <v>14</v>
      </c>
      <c r="B9" s="306" t="s">
        <v>151</v>
      </c>
      <c r="C9" s="307">
        <v>54742781.883799627</v>
      </c>
      <c r="D9" s="308">
        <v>65082378.60241434</v>
      </c>
      <c r="E9" s="308"/>
      <c r="F9" s="308"/>
      <c r="G9" s="308"/>
      <c r="H9" s="308"/>
      <c r="I9" s="308"/>
      <c r="J9" s="308"/>
      <c r="K9" s="308"/>
      <c r="L9" s="308"/>
      <c r="M9" s="308"/>
      <c r="N9" s="308"/>
      <c r="O9" s="308"/>
      <c r="P9" s="308"/>
      <c r="Q9" s="308"/>
      <c r="R9" s="308"/>
      <c r="S9" s="308"/>
      <c r="T9" s="308"/>
      <c r="U9" s="244">
        <f t="shared" si="0"/>
        <v>119825160.48621397</v>
      </c>
    </row>
    <row r="10" spans="1:21" hidden="1" x14ac:dyDescent="0.3">
      <c r="A10" s="306">
        <v>15</v>
      </c>
      <c r="B10" s="306" t="s">
        <v>153</v>
      </c>
      <c r="C10" s="307"/>
      <c r="D10" s="308"/>
      <c r="E10" s="308"/>
      <c r="F10" s="308"/>
      <c r="G10" s="308"/>
      <c r="H10" s="308"/>
      <c r="I10" s="308"/>
      <c r="J10" s="308"/>
      <c r="K10" s="308"/>
      <c r="L10" s="308"/>
      <c r="M10" s="308"/>
      <c r="N10" s="308"/>
      <c r="O10" s="308"/>
      <c r="P10" s="308"/>
      <c r="Q10" s="308"/>
      <c r="R10" s="308"/>
      <c r="S10" s="308"/>
      <c r="T10" s="308"/>
      <c r="U10" s="244">
        <f t="shared" si="0"/>
        <v>0</v>
      </c>
    </row>
    <row r="11" spans="1:21" hidden="1" x14ac:dyDescent="0.3">
      <c r="A11" s="306">
        <v>16</v>
      </c>
      <c r="B11" s="306" t="s">
        <v>154</v>
      </c>
      <c r="C11" s="307"/>
      <c r="D11" s="308"/>
      <c r="E11" s="308"/>
      <c r="F11" s="308"/>
      <c r="G11" s="308"/>
      <c r="H11" s="308"/>
      <c r="I11" s="308"/>
      <c r="J11" s="308"/>
      <c r="K11" s="308"/>
      <c r="L11" s="308"/>
      <c r="M11" s="308"/>
      <c r="N11" s="308"/>
      <c r="O11" s="308"/>
      <c r="P11" s="308"/>
      <c r="Q11" s="308"/>
      <c r="R11" s="308"/>
      <c r="S11" s="308"/>
      <c r="T11" s="308"/>
      <c r="U11" s="244">
        <f t="shared" si="0"/>
        <v>0</v>
      </c>
    </row>
    <row r="12" spans="1:21" hidden="1" x14ac:dyDescent="0.3">
      <c r="A12" s="306">
        <v>17</v>
      </c>
      <c r="B12" s="306" t="s">
        <v>155</v>
      </c>
      <c r="C12" s="307"/>
      <c r="D12" s="308"/>
      <c r="E12" s="308"/>
      <c r="F12" s="308"/>
      <c r="G12" s="308"/>
      <c r="H12" s="308"/>
      <c r="I12" s="308"/>
      <c r="J12" s="308"/>
      <c r="K12" s="308"/>
      <c r="L12" s="308"/>
      <c r="M12" s="308"/>
      <c r="N12" s="308"/>
      <c r="O12" s="308"/>
      <c r="P12" s="308"/>
      <c r="Q12" s="308"/>
      <c r="R12" s="308"/>
      <c r="S12" s="308"/>
      <c r="T12" s="308"/>
      <c r="U12" s="244">
        <f t="shared" si="0"/>
        <v>0</v>
      </c>
    </row>
    <row r="13" spans="1:21" hidden="1" x14ac:dyDescent="0.3">
      <c r="A13" s="306">
        <v>18</v>
      </c>
      <c r="B13" s="306" t="s">
        <v>157</v>
      </c>
      <c r="C13" s="307">
        <v>630000</v>
      </c>
      <c r="D13" s="308">
        <v>2852664</v>
      </c>
      <c r="E13" s="308"/>
      <c r="F13" s="308">
        <v>5432675.9813184924</v>
      </c>
      <c r="G13" s="308"/>
      <c r="H13" s="308"/>
      <c r="I13" s="308"/>
      <c r="J13" s="308"/>
      <c r="K13" s="308"/>
      <c r="L13" s="308"/>
      <c r="M13" s="308"/>
      <c r="N13" s="308"/>
      <c r="O13" s="308"/>
      <c r="P13" s="308"/>
      <c r="Q13" s="308"/>
      <c r="R13" s="308"/>
      <c r="S13" s="308"/>
      <c r="T13" s="308"/>
      <c r="U13" s="244">
        <f t="shared" si="0"/>
        <v>8915339.9813184924</v>
      </c>
    </row>
    <row r="14" spans="1:21" hidden="1" x14ac:dyDescent="0.3">
      <c r="A14" s="306">
        <v>19</v>
      </c>
      <c r="B14" s="306" t="s">
        <v>159</v>
      </c>
      <c r="C14" s="307"/>
      <c r="D14" s="308"/>
      <c r="E14" s="308"/>
      <c r="F14" s="308"/>
      <c r="G14" s="308"/>
      <c r="H14" s="308"/>
      <c r="I14" s="308"/>
      <c r="J14" s="308"/>
      <c r="K14" s="308"/>
      <c r="L14" s="308"/>
      <c r="M14" s="308"/>
      <c r="N14" s="308"/>
      <c r="O14" s="308"/>
      <c r="P14" s="308"/>
      <c r="Q14" s="308"/>
      <c r="R14" s="308"/>
      <c r="S14" s="308"/>
      <c r="T14" s="308"/>
      <c r="U14" s="244">
        <f t="shared" si="0"/>
        <v>0</v>
      </c>
    </row>
    <row r="15" spans="1:21" hidden="1" x14ac:dyDescent="0.3">
      <c r="A15" s="306">
        <v>20</v>
      </c>
      <c r="B15" s="306" t="s">
        <v>161</v>
      </c>
      <c r="C15" s="307">
        <v>469091</v>
      </c>
      <c r="D15" s="308">
        <v>465455</v>
      </c>
      <c r="E15" s="308"/>
      <c r="F15" s="308"/>
      <c r="G15" s="308"/>
      <c r="H15" s="308"/>
      <c r="I15" s="308"/>
      <c r="J15" s="308"/>
      <c r="K15" s="308"/>
      <c r="L15" s="308"/>
      <c r="M15" s="308"/>
      <c r="N15" s="308"/>
      <c r="O15" s="308"/>
      <c r="P15" s="308"/>
      <c r="Q15" s="308"/>
      <c r="R15" s="308"/>
      <c r="S15" s="308"/>
      <c r="T15" s="308"/>
      <c r="U15" s="244">
        <f t="shared" si="0"/>
        <v>934546</v>
      </c>
    </row>
    <row r="16" spans="1:21" hidden="1" x14ac:dyDescent="0.3">
      <c r="A16" s="306">
        <v>21</v>
      </c>
      <c r="B16" s="306" t="s">
        <v>163</v>
      </c>
      <c r="C16" s="307"/>
      <c r="D16" s="308"/>
      <c r="E16" s="308"/>
      <c r="F16" s="308"/>
      <c r="G16" s="308"/>
      <c r="H16" s="308"/>
      <c r="I16" s="308"/>
      <c r="J16" s="308"/>
      <c r="K16" s="308"/>
      <c r="L16" s="308"/>
      <c r="M16" s="308"/>
      <c r="N16" s="308"/>
      <c r="O16" s="308"/>
      <c r="P16" s="308"/>
      <c r="Q16" s="308"/>
      <c r="R16" s="308"/>
      <c r="S16" s="308"/>
      <c r="T16" s="308"/>
      <c r="U16" s="244">
        <f t="shared" si="0"/>
        <v>0</v>
      </c>
    </row>
    <row r="17" spans="1:21" hidden="1" x14ac:dyDescent="0.3">
      <c r="A17" s="306">
        <v>22</v>
      </c>
      <c r="B17" s="306" t="s">
        <v>165</v>
      </c>
      <c r="C17" s="307">
        <v>2591027</v>
      </c>
      <c r="D17" s="308">
        <v>1272000</v>
      </c>
      <c r="E17" s="308"/>
      <c r="F17" s="308"/>
      <c r="G17" s="308"/>
      <c r="H17" s="308"/>
      <c r="I17" s="308"/>
      <c r="J17" s="308"/>
      <c r="K17" s="308"/>
      <c r="L17" s="308"/>
      <c r="M17" s="308"/>
      <c r="N17" s="308"/>
      <c r="O17" s="308"/>
      <c r="P17" s="308"/>
      <c r="Q17" s="308"/>
      <c r="R17" s="308"/>
      <c r="S17" s="308"/>
      <c r="T17" s="308"/>
      <c r="U17" s="244">
        <f t="shared" si="0"/>
        <v>3863027</v>
      </c>
    </row>
    <row r="18" spans="1:21" hidden="1" x14ac:dyDescent="0.3">
      <c r="A18" s="306">
        <v>23</v>
      </c>
      <c r="B18" s="306" t="s">
        <v>167</v>
      </c>
      <c r="C18" s="307">
        <v>1681625</v>
      </c>
      <c r="D18" s="308">
        <v>90000</v>
      </c>
      <c r="E18" s="308"/>
      <c r="F18" s="308"/>
      <c r="G18" s="308"/>
      <c r="H18" s="308"/>
      <c r="I18" s="308"/>
      <c r="J18" s="308"/>
      <c r="K18" s="308"/>
      <c r="L18" s="308"/>
      <c r="M18" s="308"/>
      <c r="N18" s="308"/>
      <c r="O18" s="308"/>
      <c r="P18" s="308"/>
      <c r="Q18" s="308"/>
      <c r="R18" s="308"/>
      <c r="S18" s="308"/>
      <c r="T18" s="308"/>
      <c r="U18" s="244">
        <f t="shared" si="0"/>
        <v>1771625</v>
      </c>
    </row>
    <row r="19" spans="1:21" hidden="1" x14ac:dyDescent="0.3">
      <c r="A19" s="306">
        <v>24</v>
      </c>
      <c r="B19" s="306" t="s">
        <v>169</v>
      </c>
      <c r="C19" s="307"/>
      <c r="D19" s="308">
        <v>1618800</v>
      </c>
      <c r="E19" s="308"/>
      <c r="F19" s="308"/>
      <c r="G19" s="308"/>
      <c r="H19" s="308"/>
      <c r="I19" s="308"/>
      <c r="J19" s="308"/>
      <c r="K19" s="308"/>
      <c r="L19" s="308"/>
      <c r="M19" s="308"/>
      <c r="N19" s="308"/>
      <c r="O19" s="308"/>
      <c r="P19" s="308"/>
      <c r="Q19" s="308"/>
      <c r="R19" s="308"/>
      <c r="S19" s="308"/>
      <c r="T19" s="308"/>
      <c r="U19" s="244">
        <f t="shared" si="0"/>
        <v>1618800</v>
      </c>
    </row>
    <row r="20" spans="1:21" hidden="1" x14ac:dyDescent="0.3">
      <c r="A20" s="306">
        <v>25</v>
      </c>
      <c r="B20" s="306" t="s">
        <v>171</v>
      </c>
      <c r="C20" s="307"/>
      <c r="D20" s="308"/>
      <c r="E20" s="308"/>
      <c r="F20" s="308"/>
      <c r="G20" s="308"/>
      <c r="H20" s="308"/>
      <c r="I20" s="308"/>
      <c r="J20" s="308"/>
      <c r="K20" s="308"/>
      <c r="L20" s="308"/>
      <c r="M20" s="308"/>
      <c r="N20" s="308"/>
      <c r="O20" s="308"/>
      <c r="P20" s="308"/>
      <c r="Q20" s="308"/>
      <c r="R20" s="308"/>
      <c r="S20" s="308"/>
      <c r="T20" s="308"/>
      <c r="U20" s="244">
        <f t="shared" si="0"/>
        <v>0</v>
      </c>
    </row>
    <row r="21" spans="1:21" hidden="1" x14ac:dyDescent="0.3">
      <c r="A21" s="306">
        <v>26</v>
      </c>
      <c r="B21" s="306" t="s">
        <v>173</v>
      </c>
      <c r="C21" s="307"/>
      <c r="D21" s="308"/>
      <c r="E21" s="308"/>
      <c r="F21" s="308"/>
      <c r="G21" s="308"/>
      <c r="H21" s="308"/>
      <c r="I21" s="308"/>
      <c r="J21" s="308"/>
      <c r="K21" s="308"/>
      <c r="L21" s="308"/>
      <c r="M21" s="308"/>
      <c r="N21" s="308"/>
      <c r="O21" s="308"/>
      <c r="P21" s="308"/>
      <c r="Q21" s="308"/>
      <c r="R21" s="308"/>
      <c r="S21" s="308"/>
      <c r="T21" s="308"/>
      <c r="U21" s="244">
        <f t="shared" si="0"/>
        <v>0</v>
      </c>
    </row>
    <row r="22" spans="1:21" hidden="1" x14ac:dyDescent="0.3">
      <c r="A22" s="306">
        <v>27</v>
      </c>
      <c r="B22" s="306" t="s">
        <v>174</v>
      </c>
      <c r="C22" s="307"/>
      <c r="D22" s="308"/>
      <c r="E22" s="308"/>
      <c r="F22" s="308"/>
      <c r="G22" s="308"/>
      <c r="H22" s="308"/>
      <c r="I22" s="308"/>
      <c r="J22" s="308"/>
      <c r="K22" s="308"/>
      <c r="L22" s="308"/>
      <c r="M22" s="308"/>
      <c r="N22" s="308"/>
      <c r="O22" s="308"/>
      <c r="P22" s="308"/>
      <c r="Q22" s="308"/>
      <c r="R22" s="308"/>
      <c r="S22" s="308"/>
      <c r="T22" s="308"/>
      <c r="U22" s="244">
        <f t="shared" si="0"/>
        <v>0</v>
      </c>
    </row>
    <row r="23" spans="1:21" hidden="1" x14ac:dyDescent="0.3">
      <c r="A23" s="306">
        <v>28</v>
      </c>
      <c r="B23" s="306" t="s">
        <v>174</v>
      </c>
      <c r="C23" s="307"/>
      <c r="D23" s="308"/>
      <c r="E23" s="308"/>
      <c r="F23" s="308"/>
      <c r="G23" s="308"/>
      <c r="H23" s="308"/>
      <c r="I23" s="308"/>
      <c r="J23" s="308"/>
      <c r="K23" s="308"/>
      <c r="L23" s="308"/>
      <c r="M23" s="308"/>
      <c r="N23" s="308"/>
      <c r="O23" s="308"/>
      <c r="P23" s="308"/>
      <c r="Q23" s="308"/>
      <c r="R23" s="308"/>
      <c r="S23" s="308"/>
      <c r="T23" s="308"/>
      <c r="U23" s="244">
        <f t="shared" si="0"/>
        <v>0</v>
      </c>
    </row>
    <row r="24" spans="1:21" hidden="1" x14ac:dyDescent="0.3">
      <c r="A24" s="306">
        <v>29</v>
      </c>
      <c r="B24" s="306" t="s">
        <v>175</v>
      </c>
      <c r="C24" s="307"/>
      <c r="D24" s="308"/>
      <c r="E24" s="308"/>
      <c r="F24" s="308"/>
      <c r="G24" s="308"/>
      <c r="H24" s="308"/>
      <c r="I24" s="308"/>
      <c r="J24" s="308"/>
      <c r="K24" s="308"/>
      <c r="L24" s="308"/>
      <c r="M24" s="308"/>
      <c r="N24" s="308"/>
      <c r="O24" s="308"/>
      <c r="P24" s="308"/>
      <c r="Q24" s="308"/>
      <c r="R24" s="308"/>
      <c r="S24" s="308"/>
      <c r="T24" s="308"/>
      <c r="U24" s="244">
        <f t="shared" si="0"/>
        <v>0</v>
      </c>
    </row>
    <row r="25" spans="1:21" hidden="1" x14ac:dyDescent="0.3">
      <c r="A25" s="306">
        <v>30</v>
      </c>
      <c r="B25" s="306" t="s">
        <v>177</v>
      </c>
      <c r="C25" s="307"/>
      <c r="D25" s="308"/>
      <c r="E25" s="308"/>
      <c r="F25" s="308"/>
      <c r="G25" s="308"/>
      <c r="H25" s="308"/>
      <c r="I25" s="308"/>
      <c r="J25" s="308"/>
      <c r="K25" s="308"/>
      <c r="L25" s="308"/>
      <c r="M25" s="308"/>
      <c r="N25" s="308"/>
      <c r="O25" s="308"/>
      <c r="P25" s="308"/>
      <c r="Q25" s="308"/>
      <c r="R25" s="308"/>
      <c r="S25" s="308"/>
      <c r="T25" s="308"/>
      <c r="U25" s="244">
        <f t="shared" si="0"/>
        <v>0</v>
      </c>
    </row>
    <row r="26" spans="1:21" hidden="1" x14ac:dyDescent="0.3">
      <c r="A26" s="306">
        <v>31</v>
      </c>
      <c r="B26" s="306" t="s">
        <v>179</v>
      </c>
      <c r="C26" s="307"/>
      <c r="D26" s="308"/>
      <c r="E26" s="308"/>
      <c r="F26" s="308"/>
      <c r="G26" s="308"/>
      <c r="H26" s="308"/>
      <c r="I26" s="308"/>
      <c r="J26" s="308"/>
      <c r="K26" s="308"/>
      <c r="L26" s="308"/>
      <c r="M26" s="308"/>
      <c r="N26" s="308"/>
      <c r="O26" s="308"/>
      <c r="P26" s="308"/>
      <c r="Q26" s="308"/>
      <c r="R26" s="308"/>
      <c r="S26" s="308"/>
      <c r="T26" s="308"/>
      <c r="U26" s="244">
        <f t="shared" si="0"/>
        <v>0</v>
      </c>
    </row>
    <row r="27" spans="1:21" hidden="1" x14ac:dyDescent="0.3">
      <c r="A27" s="306">
        <v>32</v>
      </c>
      <c r="B27" s="306" t="s">
        <v>181</v>
      </c>
      <c r="C27" s="307"/>
      <c r="D27" s="308"/>
      <c r="E27" s="308"/>
      <c r="F27" s="308"/>
      <c r="G27" s="308"/>
      <c r="H27" s="308"/>
      <c r="I27" s="308"/>
      <c r="J27" s="308"/>
      <c r="K27" s="308"/>
      <c r="L27" s="308"/>
      <c r="M27" s="308"/>
      <c r="N27" s="308"/>
      <c r="O27" s="308"/>
      <c r="P27" s="308"/>
      <c r="Q27" s="308"/>
      <c r="R27" s="308"/>
      <c r="S27" s="308"/>
      <c r="T27" s="308"/>
      <c r="U27" s="244">
        <f t="shared" si="0"/>
        <v>0</v>
      </c>
    </row>
    <row r="28" spans="1:21" hidden="1" x14ac:dyDescent="0.3">
      <c r="A28" s="306">
        <v>33</v>
      </c>
      <c r="B28" s="306" t="s">
        <v>183</v>
      </c>
      <c r="C28" s="307">
        <v>0</v>
      </c>
      <c r="D28" s="308">
        <v>554400</v>
      </c>
      <c r="E28" s="308"/>
      <c r="F28" s="308"/>
      <c r="G28" s="308"/>
      <c r="H28" s="308"/>
      <c r="I28" s="308"/>
      <c r="J28" s="308"/>
      <c r="K28" s="308"/>
      <c r="L28" s="308"/>
      <c r="M28" s="308"/>
      <c r="N28" s="308"/>
      <c r="O28" s="308"/>
      <c r="P28" s="308"/>
      <c r="Q28" s="308"/>
      <c r="R28" s="308"/>
      <c r="S28" s="308"/>
      <c r="T28" s="308"/>
      <c r="U28" s="244">
        <f t="shared" si="0"/>
        <v>554400</v>
      </c>
    </row>
    <row r="29" spans="1:21" hidden="1" x14ac:dyDescent="0.3">
      <c r="A29" s="306">
        <v>34</v>
      </c>
      <c r="B29" s="306" t="s">
        <v>185</v>
      </c>
      <c r="C29" s="307"/>
      <c r="D29" s="308"/>
      <c r="E29" s="308"/>
      <c r="F29" s="308"/>
      <c r="G29" s="308"/>
      <c r="H29" s="308"/>
      <c r="I29" s="308"/>
      <c r="J29" s="308"/>
      <c r="K29" s="308"/>
      <c r="L29" s="308"/>
      <c r="M29" s="308"/>
      <c r="N29" s="308"/>
      <c r="O29" s="308"/>
      <c r="P29" s="308"/>
      <c r="Q29" s="308"/>
      <c r="R29" s="308"/>
      <c r="S29" s="308"/>
      <c r="T29" s="308"/>
      <c r="U29" s="244">
        <f t="shared" si="0"/>
        <v>0</v>
      </c>
    </row>
    <row r="30" spans="1:21" hidden="1" x14ac:dyDescent="0.3">
      <c r="A30" s="306">
        <v>35</v>
      </c>
      <c r="B30" s="306" t="s">
        <v>187</v>
      </c>
      <c r="C30" s="307"/>
      <c r="D30" s="308"/>
      <c r="E30" s="308"/>
      <c r="F30" s="308"/>
      <c r="G30" s="308"/>
      <c r="H30" s="308"/>
      <c r="I30" s="308"/>
      <c r="J30" s="308"/>
      <c r="K30" s="308"/>
      <c r="L30" s="308"/>
      <c r="M30" s="308"/>
      <c r="N30" s="308"/>
      <c r="O30" s="308"/>
      <c r="P30" s="308"/>
      <c r="Q30" s="308"/>
      <c r="R30" s="308"/>
      <c r="S30" s="308"/>
      <c r="T30" s="308"/>
      <c r="U30" s="244">
        <f t="shared" si="0"/>
        <v>0</v>
      </c>
    </row>
    <row r="31" spans="1:21" hidden="1" x14ac:dyDescent="0.3">
      <c r="A31" s="306">
        <v>36</v>
      </c>
      <c r="B31" s="306" t="s">
        <v>189</v>
      </c>
      <c r="C31" s="307"/>
      <c r="D31" s="308"/>
      <c r="E31" s="308"/>
      <c r="F31" s="308"/>
      <c r="G31" s="308"/>
      <c r="H31" s="308"/>
      <c r="I31" s="308"/>
      <c r="J31" s="308"/>
      <c r="K31" s="308"/>
      <c r="L31" s="308"/>
      <c r="M31" s="308"/>
      <c r="N31" s="308"/>
      <c r="O31" s="308"/>
      <c r="P31" s="308"/>
      <c r="Q31" s="308"/>
      <c r="R31" s="308"/>
      <c r="S31" s="308"/>
      <c r="T31" s="308"/>
      <c r="U31" s="244">
        <f t="shared" si="0"/>
        <v>0</v>
      </c>
    </row>
    <row r="32" spans="1:21" hidden="1" x14ac:dyDescent="0.3">
      <c r="A32" s="306">
        <v>37</v>
      </c>
      <c r="B32" s="306" t="s">
        <v>191</v>
      </c>
      <c r="C32" s="307">
        <v>150000</v>
      </c>
      <c r="D32" s="308">
        <v>130000</v>
      </c>
      <c r="E32" s="308"/>
      <c r="F32" s="308"/>
      <c r="G32" s="308"/>
      <c r="H32" s="308"/>
      <c r="I32" s="308"/>
      <c r="J32" s="308"/>
      <c r="K32" s="308"/>
      <c r="L32" s="308"/>
      <c r="M32" s="308"/>
      <c r="N32" s="308"/>
      <c r="O32" s="308"/>
      <c r="P32" s="308"/>
      <c r="Q32" s="308"/>
      <c r="R32" s="308"/>
      <c r="S32" s="308"/>
      <c r="T32" s="308"/>
      <c r="U32" s="244">
        <f t="shared" si="0"/>
        <v>280000</v>
      </c>
    </row>
    <row r="33" spans="1:21" hidden="1" x14ac:dyDescent="0.3">
      <c r="A33" s="306">
        <v>38</v>
      </c>
      <c r="B33" s="306" t="s">
        <v>193</v>
      </c>
      <c r="C33" s="307"/>
      <c r="D33" s="308"/>
      <c r="E33" s="308"/>
      <c r="F33" s="308"/>
      <c r="G33" s="308"/>
      <c r="H33" s="308"/>
      <c r="I33" s="308"/>
      <c r="J33" s="308"/>
      <c r="K33" s="308"/>
      <c r="L33" s="308"/>
      <c r="M33" s="308"/>
      <c r="N33" s="308"/>
      <c r="O33" s="308"/>
      <c r="P33" s="308"/>
      <c r="Q33" s="308"/>
      <c r="R33" s="308"/>
      <c r="S33" s="308"/>
      <c r="T33" s="308"/>
      <c r="U33" s="244">
        <f t="shared" si="0"/>
        <v>0</v>
      </c>
    </row>
    <row r="34" spans="1:21" hidden="1" x14ac:dyDescent="0.3">
      <c r="A34" s="306">
        <v>39</v>
      </c>
      <c r="B34" s="306" t="s">
        <v>195</v>
      </c>
      <c r="C34" s="307">
        <v>192031</v>
      </c>
      <c r="D34" s="308">
        <v>233945</v>
      </c>
      <c r="E34" s="308"/>
      <c r="F34" s="308"/>
      <c r="G34" s="308"/>
      <c r="H34" s="308"/>
      <c r="I34" s="308"/>
      <c r="J34" s="308"/>
      <c r="K34" s="308"/>
      <c r="L34" s="308"/>
      <c r="M34" s="308"/>
      <c r="N34" s="308"/>
      <c r="O34" s="308"/>
      <c r="P34" s="308"/>
      <c r="Q34" s="308"/>
      <c r="R34" s="308"/>
      <c r="S34" s="308"/>
      <c r="T34" s="308"/>
      <c r="U34" s="244">
        <f t="shared" si="0"/>
        <v>425976</v>
      </c>
    </row>
    <row r="35" spans="1:21" hidden="1" x14ac:dyDescent="0.3">
      <c r="A35" s="306">
        <v>40</v>
      </c>
      <c r="B35" s="306" t="s">
        <v>197</v>
      </c>
      <c r="C35" s="307"/>
      <c r="D35" s="308"/>
      <c r="E35" s="308"/>
      <c r="F35" s="308"/>
      <c r="G35" s="308"/>
      <c r="H35" s="308"/>
      <c r="I35" s="308"/>
      <c r="J35" s="308"/>
      <c r="K35" s="308"/>
      <c r="L35" s="308"/>
      <c r="M35" s="308"/>
      <c r="N35" s="308"/>
      <c r="O35" s="308"/>
      <c r="P35" s="308"/>
      <c r="Q35" s="308"/>
      <c r="R35" s="308"/>
      <c r="S35" s="308"/>
      <c r="T35" s="308"/>
      <c r="U35" s="244">
        <f t="shared" si="0"/>
        <v>0</v>
      </c>
    </row>
    <row r="36" spans="1:21" hidden="1" x14ac:dyDescent="0.3">
      <c r="A36" s="306">
        <v>41</v>
      </c>
      <c r="B36" s="306" t="s">
        <v>199</v>
      </c>
      <c r="C36" s="307"/>
      <c r="D36" s="308"/>
      <c r="E36" s="308"/>
      <c r="F36" s="308"/>
      <c r="G36" s="308"/>
      <c r="H36" s="308"/>
      <c r="I36" s="308"/>
      <c r="J36" s="308"/>
      <c r="K36" s="308"/>
      <c r="L36" s="308"/>
      <c r="M36" s="308"/>
      <c r="N36" s="308"/>
      <c r="O36" s="308"/>
      <c r="P36" s="308"/>
      <c r="Q36" s="308"/>
      <c r="R36" s="308"/>
      <c r="S36" s="308"/>
      <c r="T36" s="308"/>
      <c r="U36" s="244">
        <f t="shared" si="0"/>
        <v>0</v>
      </c>
    </row>
    <row r="37" spans="1:21" hidden="1" x14ac:dyDescent="0.3">
      <c r="A37" s="306">
        <v>42</v>
      </c>
      <c r="B37" s="306" t="s">
        <v>201</v>
      </c>
      <c r="C37" s="307"/>
      <c r="D37" s="308"/>
      <c r="E37" s="308"/>
      <c r="F37" s="308"/>
      <c r="G37" s="308"/>
      <c r="H37" s="308"/>
      <c r="I37" s="308"/>
      <c r="J37" s="308"/>
      <c r="K37" s="308"/>
      <c r="L37" s="308"/>
      <c r="M37" s="308"/>
      <c r="N37" s="308"/>
      <c r="O37" s="308"/>
      <c r="P37" s="308"/>
      <c r="Q37" s="308"/>
      <c r="R37" s="308"/>
      <c r="S37" s="308"/>
      <c r="T37" s="308"/>
      <c r="U37" s="244">
        <f t="shared" si="0"/>
        <v>0</v>
      </c>
    </row>
    <row r="38" spans="1:21" hidden="1" x14ac:dyDescent="0.3">
      <c r="A38" s="306">
        <v>43</v>
      </c>
      <c r="B38" s="306" t="s">
        <v>203</v>
      </c>
      <c r="C38" s="307"/>
      <c r="D38" s="308"/>
      <c r="E38" s="308"/>
      <c r="F38" s="308"/>
      <c r="G38" s="308"/>
      <c r="H38" s="308"/>
      <c r="I38" s="308"/>
      <c r="J38" s="308"/>
      <c r="K38" s="308"/>
      <c r="L38" s="308"/>
      <c r="M38" s="308"/>
      <c r="N38" s="308"/>
      <c r="O38" s="308"/>
      <c r="P38" s="308"/>
      <c r="Q38" s="308"/>
      <c r="R38" s="308"/>
      <c r="S38" s="308"/>
      <c r="T38" s="308"/>
      <c r="U38" s="244">
        <f t="shared" si="0"/>
        <v>0</v>
      </c>
    </row>
    <row r="39" spans="1:21" hidden="1" x14ac:dyDescent="0.3">
      <c r="A39" s="306">
        <v>44</v>
      </c>
      <c r="B39" s="306" t="s">
        <v>205</v>
      </c>
      <c r="C39" s="307"/>
      <c r="D39" s="308"/>
      <c r="E39" s="308"/>
      <c r="F39" s="308"/>
      <c r="G39" s="308"/>
      <c r="H39" s="308"/>
      <c r="I39" s="308"/>
      <c r="J39" s="308"/>
      <c r="K39" s="308"/>
      <c r="L39" s="308"/>
      <c r="M39" s="308"/>
      <c r="N39" s="308"/>
      <c r="O39" s="308"/>
      <c r="P39" s="308"/>
      <c r="Q39" s="308"/>
      <c r="R39" s="308"/>
      <c r="S39" s="308"/>
      <c r="T39" s="308"/>
      <c r="U39" s="244">
        <f t="shared" si="0"/>
        <v>0</v>
      </c>
    </row>
    <row r="40" spans="1:21" hidden="1" x14ac:dyDescent="0.3">
      <c r="A40" s="306">
        <v>45</v>
      </c>
      <c r="B40" s="306" t="s">
        <v>207</v>
      </c>
      <c r="C40" s="307">
        <v>0</v>
      </c>
      <c r="D40" s="308">
        <v>37200</v>
      </c>
      <c r="E40" s="308"/>
      <c r="F40" s="308"/>
      <c r="G40" s="308"/>
      <c r="H40" s="308"/>
      <c r="I40" s="308"/>
      <c r="J40" s="308"/>
      <c r="K40" s="308"/>
      <c r="L40" s="308"/>
      <c r="M40" s="308"/>
      <c r="N40" s="308"/>
      <c r="O40" s="308"/>
      <c r="P40" s="308"/>
      <c r="Q40" s="308"/>
      <c r="R40" s="308"/>
      <c r="S40" s="308"/>
      <c r="T40" s="308"/>
      <c r="U40" s="244">
        <f t="shared" si="0"/>
        <v>37200</v>
      </c>
    </row>
    <row r="41" spans="1:21" hidden="1" x14ac:dyDescent="0.3">
      <c r="A41" s="306">
        <v>46</v>
      </c>
      <c r="B41" s="306" t="s">
        <v>209</v>
      </c>
      <c r="C41" s="307"/>
      <c r="D41" s="308"/>
      <c r="E41" s="308"/>
      <c r="F41" s="308"/>
      <c r="G41" s="308"/>
      <c r="H41" s="308"/>
      <c r="I41" s="308"/>
      <c r="J41" s="308"/>
      <c r="K41" s="308"/>
      <c r="L41" s="308"/>
      <c r="M41" s="308"/>
      <c r="N41" s="308"/>
      <c r="O41" s="308"/>
      <c r="P41" s="308"/>
      <c r="Q41" s="308"/>
      <c r="R41" s="308"/>
      <c r="S41" s="308"/>
      <c r="T41" s="308"/>
      <c r="U41" s="244">
        <f t="shared" si="0"/>
        <v>0</v>
      </c>
    </row>
    <row r="42" spans="1:21" hidden="1" x14ac:dyDescent="0.3">
      <c r="A42" s="306">
        <v>47</v>
      </c>
      <c r="B42" s="306" t="s">
        <v>211</v>
      </c>
      <c r="C42" s="307">
        <v>7297000</v>
      </c>
      <c r="D42" s="308">
        <v>7677500</v>
      </c>
      <c r="E42" s="308"/>
      <c r="F42" s="308"/>
      <c r="G42" s="308"/>
      <c r="H42" s="308"/>
      <c r="I42" s="308"/>
      <c r="J42" s="308"/>
      <c r="K42" s="308"/>
      <c r="L42" s="308"/>
      <c r="M42" s="308"/>
      <c r="N42" s="308"/>
      <c r="O42" s="308"/>
      <c r="P42" s="308"/>
      <c r="Q42" s="308"/>
      <c r="R42" s="308"/>
      <c r="S42" s="308"/>
      <c r="T42" s="308"/>
      <c r="U42" s="244">
        <f t="shared" si="0"/>
        <v>14974500</v>
      </c>
    </row>
    <row r="43" spans="1:21" hidden="1" x14ac:dyDescent="0.3">
      <c r="A43" s="306">
        <v>48</v>
      </c>
      <c r="B43" s="306" t="s">
        <v>213</v>
      </c>
      <c r="C43" s="307"/>
      <c r="D43" s="308"/>
      <c r="E43" s="308"/>
      <c r="F43" s="308"/>
      <c r="G43" s="308"/>
      <c r="H43" s="308"/>
      <c r="I43" s="308"/>
      <c r="J43" s="308"/>
      <c r="K43" s="308"/>
      <c r="L43" s="308"/>
      <c r="M43" s="308"/>
      <c r="N43" s="308"/>
      <c r="O43" s="308"/>
      <c r="P43" s="308"/>
      <c r="Q43" s="308"/>
      <c r="R43" s="308"/>
      <c r="S43" s="308"/>
      <c r="T43" s="308"/>
      <c r="U43" s="244">
        <f t="shared" si="0"/>
        <v>0</v>
      </c>
    </row>
    <row r="44" spans="1:21" hidden="1" x14ac:dyDescent="0.3">
      <c r="A44" s="306">
        <v>49</v>
      </c>
      <c r="B44" s="306" t="s">
        <v>215</v>
      </c>
      <c r="C44" s="307"/>
      <c r="D44" s="308"/>
      <c r="E44" s="308"/>
      <c r="F44" s="308"/>
      <c r="G44" s="308"/>
      <c r="H44" s="308"/>
      <c r="I44" s="308"/>
      <c r="J44" s="308"/>
      <c r="K44" s="308"/>
      <c r="L44" s="308"/>
      <c r="M44" s="308"/>
      <c r="N44" s="308"/>
      <c r="O44" s="308"/>
      <c r="P44" s="308"/>
      <c r="Q44" s="308"/>
      <c r="R44" s="308"/>
      <c r="S44" s="308"/>
      <c r="T44" s="308"/>
      <c r="U44" s="244">
        <f t="shared" si="0"/>
        <v>0</v>
      </c>
    </row>
    <row r="45" spans="1:21" hidden="1" x14ac:dyDescent="0.3">
      <c r="A45" s="306">
        <v>50</v>
      </c>
      <c r="B45" s="306" t="s">
        <v>217</v>
      </c>
      <c r="C45" s="307"/>
      <c r="D45" s="308"/>
      <c r="E45" s="308"/>
      <c r="F45" s="308"/>
      <c r="G45" s="308"/>
      <c r="H45" s="308"/>
      <c r="I45" s="308"/>
      <c r="J45" s="308"/>
      <c r="K45" s="308"/>
      <c r="L45" s="308"/>
      <c r="M45" s="308"/>
      <c r="N45" s="308"/>
      <c r="O45" s="308"/>
      <c r="P45" s="308"/>
      <c r="Q45" s="308"/>
      <c r="R45" s="308"/>
      <c r="S45" s="308"/>
      <c r="T45" s="308"/>
      <c r="U45" s="244">
        <f t="shared" si="0"/>
        <v>0</v>
      </c>
    </row>
    <row r="46" spans="1:21" hidden="1" x14ac:dyDescent="0.3">
      <c r="A46" s="306">
        <v>51</v>
      </c>
      <c r="B46" s="306" t="s">
        <v>219</v>
      </c>
      <c r="C46" s="307"/>
      <c r="D46" s="308"/>
      <c r="E46" s="308"/>
      <c r="F46" s="308"/>
      <c r="G46" s="308"/>
      <c r="H46" s="308"/>
      <c r="I46" s="308"/>
      <c r="J46" s="308"/>
      <c r="K46" s="308"/>
      <c r="L46" s="308"/>
      <c r="M46" s="308"/>
      <c r="N46" s="308"/>
      <c r="O46" s="308"/>
      <c r="P46" s="308"/>
      <c r="Q46" s="308"/>
      <c r="R46" s="308"/>
      <c r="S46" s="308"/>
      <c r="T46" s="308"/>
      <c r="U46" s="244">
        <f t="shared" si="0"/>
        <v>0</v>
      </c>
    </row>
    <row r="47" spans="1:21" hidden="1" x14ac:dyDescent="0.3">
      <c r="A47" s="306">
        <v>52</v>
      </c>
      <c r="B47" s="306" t="s">
        <v>221</v>
      </c>
      <c r="C47" s="307"/>
      <c r="D47" s="308"/>
      <c r="E47" s="308"/>
      <c r="F47" s="308"/>
      <c r="G47" s="308"/>
      <c r="H47" s="308"/>
      <c r="I47" s="308"/>
      <c r="J47" s="308"/>
      <c r="K47" s="308"/>
      <c r="L47" s="308"/>
      <c r="M47" s="308"/>
      <c r="N47" s="308"/>
      <c r="O47" s="308"/>
      <c r="P47" s="308"/>
      <c r="Q47" s="308"/>
      <c r="R47" s="308"/>
      <c r="S47" s="308"/>
      <c r="T47" s="308"/>
      <c r="U47" s="244">
        <f t="shared" si="0"/>
        <v>0</v>
      </c>
    </row>
    <row r="48" spans="1:21" hidden="1" x14ac:dyDescent="0.3">
      <c r="A48" s="306">
        <v>53</v>
      </c>
      <c r="B48" s="306" t="s">
        <v>223</v>
      </c>
      <c r="C48" s="307"/>
      <c r="D48" s="308"/>
      <c r="E48" s="308"/>
      <c r="F48" s="308"/>
      <c r="G48" s="308"/>
      <c r="H48" s="308"/>
      <c r="I48" s="308"/>
      <c r="J48" s="308"/>
      <c r="K48" s="308"/>
      <c r="L48" s="308"/>
      <c r="M48" s="308"/>
      <c r="N48" s="308"/>
      <c r="O48" s="308"/>
      <c r="P48" s="308"/>
      <c r="Q48" s="308"/>
      <c r="R48" s="308"/>
      <c r="S48" s="308"/>
      <c r="T48" s="308"/>
      <c r="U48" s="244">
        <f t="shared" si="0"/>
        <v>0</v>
      </c>
    </row>
    <row r="49" spans="1:21" hidden="1" x14ac:dyDescent="0.3">
      <c r="A49" s="306">
        <v>54</v>
      </c>
      <c r="B49" s="306" t="s">
        <v>225</v>
      </c>
      <c r="C49" s="307"/>
      <c r="D49" s="308"/>
      <c r="E49" s="308"/>
      <c r="F49" s="308"/>
      <c r="G49" s="308"/>
      <c r="H49" s="308"/>
      <c r="I49" s="308"/>
      <c r="J49" s="308"/>
      <c r="K49" s="308"/>
      <c r="L49" s="308"/>
      <c r="M49" s="308"/>
      <c r="N49" s="308"/>
      <c r="O49" s="308"/>
      <c r="P49" s="308"/>
      <c r="Q49" s="308"/>
      <c r="R49" s="308"/>
      <c r="S49" s="308"/>
      <c r="T49" s="308"/>
      <c r="U49" s="244">
        <f t="shared" si="0"/>
        <v>0</v>
      </c>
    </row>
    <row r="50" spans="1:21" hidden="1" x14ac:dyDescent="0.3">
      <c r="A50" s="306">
        <v>55</v>
      </c>
      <c r="B50" s="306" t="s">
        <v>227</v>
      </c>
      <c r="C50" s="307"/>
      <c r="D50" s="308"/>
      <c r="E50" s="308"/>
      <c r="F50" s="308"/>
      <c r="G50" s="308"/>
      <c r="H50" s="308"/>
      <c r="I50" s="308"/>
      <c r="J50" s="308"/>
      <c r="K50" s="308"/>
      <c r="L50" s="308"/>
      <c r="M50" s="308"/>
      <c r="N50" s="308"/>
      <c r="O50" s="308"/>
      <c r="P50" s="308"/>
      <c r="Q50" s="308"/>
      <c r="R50" s="308"/>
      <c r="S50" s="308"/>
      <c r="T50" s="308"/>
      <c r="U50" s="244">
        <f t="shared" si="0"/>
        <v>0</v>
      </c>
    </row>
    <row r="51" spans="1:21" hidden="1" x14ac:dyDescent="0.3">
      <c r="A51" s="306">
        <v>56</v>
      </c>
      <c r="B51" s="306" t="s">
        <v>228</v>
      </c>
      <c r="C51" s="307"/>
      <c r="D51" s="308"/>
      <c r="E51" s="308"/>
      <c r="F51" s="308"/>
      <c r="G51" s="308"/>
      <c r="H51" s="308"/>
      <c r="I51" s="308"/>
      <c r="J51" s="308"/>
      <c r="K51" s="308"/>
      <c r="L51" s="308"/>
      <c r="M51" s="308"/>
      <c r="N51" s="308"/>
      <c r="O51" s="308"/>
      <c r="P51" s="308"/>
      <c r="Q51" s="308"/>
      <c r="R51" s="308"/>
      <c r="S51" s="308"/>
      <c r="T51" s="308"/>
      <c r="U51" s="244">
        <f t="shared" si="0"/>
        <v>0</v>
      </c>
    </row>
    <row r="52" spans="1:21" hidden="1" x14ac:dyDescent="0.3">
      <c r="A52" s="306">
        <v>57</v>
      </c>
      <c r="B52" s="306" t="s">
        <v>230</v>
      </c>
      <c r="C52" s="307"/>
      <c r="D52" s="308"/>
      <c r="E52" s="308"/>
      <c r="F52" s="308"/>
      <c r="G52" s="308"/>
      <c r="H52" s="308"/>
      <c r="I52" s="308"/>
      <c r="J52" s="308"/>
      <c r="K52" s="308"/>
      <c r="L52" s="308"/>
      <c r="M52" s="308"/>
      <c r="N52" s="308"/>
      <c r="O52" s="308"/>
      <c r="P52" s="308"/>
      <c r="Q52" s="308"/>
      <c r="R52" s="308"/>
      <c r="S52" s="308"/>
      <c r="T52" s="308"/>
      <c r="U52" s="244">
        <f t="shared" si="0"/>
        <v>0</v>
      </c>
    </row>
    <row r="53" spans="1:21" hidden="1" x14ac:dyDescent="0.3">
      <c r="A53" s="306">
        <v>58</v>
      </c>
      <c r="B53" s="306" t="s">
        <v>232</v>
      </c>
      <c r="C53" s="307"/>
      <c r="D53" s="308"/>
      <c r="E53" s="308"/>
      <c r="F53" s="308"/>
      <c r="G53" s="308"/>
      <c r="H53" s="308"/>
      <c r="I53" s="308"/>
      <c r="J53" s="308"/>
      <c r="K53" s="308"/>
      <c r="L53" s="308"/>
      <c r="M53" s="308"/>
      <c r="N53" s="308"/>
      <c r="O53" s="308"/>
      <c r="P53" s="308"/>
      <c r="Q53" s="308"/>
      <c r="R53" s="308"/>
      <c r="S53" s="308"/>
      <c r="T53" s="308"/>
      <c r="U53" s="244">
        <f t="shared" si="0"/>
        <v>0</v>
      </c>
    </row>
    <row r="54" spans="1:21" hidden="1" x14ac:dyDescent="0.3">
      <c r="A54" s="306">
        <v>59</v>
      </c>
      <c r="B54" s="306" t="s">
        <v>234</v>
      </c>
      <c r="C54" s="307"/>
      <c r="D54" s="308"/>
      <c r="E54" s="308"/>
      <c r="F54" s="308"/>
      <c r="G54" s="308"/>
      <c r="H54" s="308"/>
      <c r="I54" s="308"/>
      <c r="J54" s="308"/>
      <c r="K54" s="308"/>
      <c r="L54" s="308"/>
      <c r="M54" s="308"/>
      <c r="N54" s="308"/>
      <c r="O54" s="308"/>
      <c r="P54" s="308"/>
      <c r="Q54" s="308"/>
      <c r="R54" s="308"/>
      <c r="S54" s="308"/>
      <c r="T54" s="308"/>
      <c r="U54" s="244">
        <f t="shared" si="0"/>
        <v>0</v>
      </c>
    </row>
    <row r="55" spans="1:21" hidden="1" x14ac:dyDescent="0.3">
      <c r="A55" s="306">
        <v>60</v>
      </c>
      <c r="B55" s="306" t="s">
        <v>236</v>
      </c>
      <c r="C55" s="307">
        <v>10374535.236988943</v>
      </c>
      <c r="D55" s="308">
        <v>12334716.518374223</v>
      </c>
      <c r="E55" s="308">
        <v>0</v>
      </c>
      <c r="F55" s="308">
        <v>842064.77710436634</v>
      </c>
      <c r="G55" s="308">
        <v>0</v>
      </c>
      <c r="H55" s="308">
        <v>0</v>
      </c>
      <c r="I55" s="308"/>
      <c r="J55" s="308"/>
      <c r="K55" s="308"/>
      <c r="L55" s="308"/>
      <c r="M55" s="308"/>
      <c r="N55" s="308"/>
      <c r="O55" s="308"/>
      <c r="P55" s="308"/>
      <c r="Q55" s="308"/>
      <c r="R55" s="308"/>
      <c r="S55" s="308"/>
      <c r="T55" s="308"/>
      <c r="U55" s="244">
        <f t="shared" si="0"/>
        <v>23551316.532467533</v>
      </c>
    </row>
    <row r="56" spans="1:21" hidden="1" x14ac:dyDescent="0.3">
      <c r="A56" s="306">
        <v>61</v>
      </c>
      <c r="B56" s="306" t="s">
        <v>174</v>
      </c>
      <c r="C56" s="307"/>
      <c r="D56" s="308"/>
      <c r="E56" s="308"/>
      <c r="F56" s="308"/>
      <c r="G56" s="308"/>
      <c r="H56" s="308"/>
      <c r="I56" s="308"/>
      <c r="J56" s="308"/>
      <c r="K56" s="308"/>
      <c r="L56" s="308"/>
      <c r="M56" s="308"/>
      <c r="N56" s="308"/>
      <c r="O56" s="308"/>
      <c r="P56" s="308"/>
      <c r="Q56" s="308"/>
      <c r="R56" s="308"/>
      <c r="S56" s="308"/>
      <c r="T56" s="308"/>
      <c r="U56" s="244">
        <f t="shared" si="0"/>
        <v>0</v>
      </c>
    </row>
    <row r="57" spans="1:21" hidden="1" x14ac:dyDescent="0.3">
      <c r="A57" s="306">
        <v>62</v>
      </c>
      <c r="B57" s="306" t="s">
        <v>239</v>
      </c>
      <c r="C57" s="307"/>
      <c r="D57" s="308"/>
      <c r="E57" s="308"/>
      <c r="F57" s="308"/>
      <c r="G57" s="308"/>
      <c r="H57" s="308"/>
      <c r="I57" s="308"/>
      <c r="J57" s="308"/>
      <c r="K57" s="308"/>
      <c r="L57" s="308"/>
      <c r="M57" s="308"/>
      <c r="N57" s="308"/>
      <c r="O57" s="308"/>
      <c r="P57" s="308"/>
      <c r="Q57" s="308"/>
      <c r="R57" s="308"/>
      <c r="S57" s="308"/>
      <c r="T57" s="308"/>
      <c r="U57" s="244">
        <f t="shared" si="0"/>
        <v>0</v>
      </c>
    </row>
    <row r="58" spans="1:21" hidden="1" x14ac:dyDescent="0.3">
      <c r="A58" s="306">
        <v>63</v>
      </c>
      <c r="B58" s="306" t="s">
        <v>241</v>
      </c>
      <c r="C58" s="307">
        <v>0</v>
      </c>
      <c r="D58" s="308">
        <v>0</v>
      </c>
      <c r="E58" s="308">
        <v>0</v>
      </c>
      <c r="F58" s="308">
        <v>0</v>
      </c>
      <c r="G58" s="308">
        <v>0</v>
      </c>
      <c r="H58" s="308">
        <v>0</v>
      </c>
      <c r="I58" s="308"/>
      <c r="J58" s="308"/>
      <c r="K58" s="308"/>
      <c r="L58" s="308"/>
      <c r="M58" s="308"/>
      <c r="N58" s="308"/>
      <c r="O58" s="308"/>
      <c r="P58" s="308"/>
      <c r="Q58" s="308"/>
      <c r="R58" s="308"/>
      <c r="S58" s="308"/>
      <c r="T58" s="308"/>
      <c r="U58" s="244">
        <f t="shared" si="0"/>
        <v>0</v>
      </c>
    </row>
    <row r="59" spans="1:21" hidden="1" x14ac:dyDescent="0.3">
      <c r="A59" s="306">
        <v>64</v>
      </c>
      <c r="B59" s="306" t="s">
        <v>243</v>
      </c>
      <c r="C59" s="307">
        <v>0</v>
      </c>
      <c r="D59" s="308">
        <v>0</v>
      </c>
      <c r="E59" s="308">
        <v>0</v>
      </c>
      <c r="F59" s="308">
        <v>0</v>
      </c>
      <c r="G59" s="308">
        <v>0</v>
      </c>
      <c r="H59" s="308">
        <v>0</v>
      </c>
      <c r="I59" s="308"/>
      <c r="J59" s="308"/>
      <c r="K59" s="308"/>
      <c r="L59" s="308"/>
      <c r="M59" s="308"/>
      <c r="N59" s="308"/>
      <c r="O59" s="308"/>
      <c r="P59" s="308"/>
      <c r="Q59" s="308"/>
      <c r="R59" s="308"/>
      <c r="S59" s="308"/>
      <c r="T59" s="308"/>
      <c r="U59" s="244">
        <f t="shared" si="0"/>
        <v>0</v>
      </c>
    </row>
    <row r="60" spans="1:21" hidden="1" x14ac:dyDescent="0.3">
      <c r="A60" s="306">
        <v>65</v>
      </c>
      <c r="B60" s="306" t="s">
        <v>245</v>
      </c>
      <c r="C60" s="307"/>
      <c r="D60" s="308"/>
      <c r="E60" s="308">
        <v>2858296.25</v>
      </c>
      <c r="F60" s="308"/>
      <c r="G60" s="308"/>
      <c r="H60" s="308"/>
      <c r="I60" s="308"/>
      <c r="J60" s="308"/>
      <c r="K60" s="308"/>
      <c r="L60" s="308"/>
      <c r="M60" s="308"/>
      <c r="N60" s="308"/>
      <c r="O60" s="308"/>
      <c r="P60" s="308"/>
      <c r="Q60" s="308"/>
      <c r="R60" s="308"/>
      <c r="S60" s="308"/>
      <c r="T60" s="308"/>
      <c r="U60" s="244">
        <f t="shared" si="0"/>
        <v>2858296.25</v>
      </c>
    </row>
    <row r="61" spans="1:21" hidden="1" x14ac:dyDescent="0.3">
      <c r="A61" s="306">
        <v>66</v>
      </c>
      <c r="B61" s="306" t="s">
        <v>247</v>
      </c>
      <c r="C61" s="307"/>
      <c r="D61" s="308"/>
      <c r="E61" s="308"/>
      <c r="F61" s="308"/>
      <c r="G61" s="308"/>
      <c r="H61" s="308"/>
      <c r="I61" s="308"/>
      <c r="J61" s="308"/>
      <c r="K61" s="308"/>
      <c r="L61" s="308"/>
      <c r="M61" s="308"/>
      <c r="N61" s="308"/>
      <c r="O61" s="308"/>
      <c r="P61" s="308"/>
      <c r="Q61" s="308"/>
      <c r="R61" s="308"/>
      <c r="S61" s="308"/>
      <c r="T61" s="308"/>
      <c r="U61" s="244">
        <f t="shared" si="0"/>
        <v>0</v>
      </c>
    </row>
    <row r="62" spans="1:21" hidden="1" x14ac:dyDescent="0.3">
      <c r="A62" s="306">
        <v>67</v>
      </c>
      <c r="B62" s="306" t="s">
        <v>249</v>
      </c>
      <c r="C62" s="307"/>
      <c r="D62" s="308"/>
      <c r="E62" s="308"/>
      <c r="F62" s="308"/>
      <c r="G62" s="308"/>
      <c r="H62" s="308"/>
      <c r="I62" s="308"/>
      <c r="J62" s="308"/>
      <c r="K62" s="308"/>
      <c r="L62" s="308"/>
      <c r="M62" s="308"/>
      <c r="N62" s="308"/>
      <c r="O62" s="308"/>
      <c r="P62" s="308"/>
      <c r="Q62" s="308"/>
      <c r="R62" s="308"/>
      <c r="S62" s="308"/>
      <c r="T62" s="308"/>
      <c r="U62" s="244">
        <f t="shared" si="0"/>
        <v>0</v>
      </c>
    </row>
    <row r="63" spans="1:21" hidden="1" x14ac:dyDescent="0.3">
      <c r="A63" s="306">
        <v>68</v>
      </c>
      <c r="B63" s="306" t="s">
        <v>251</v>
      </c>
      <c r="C63" s="307"/>
      <c r="D63" s="308"/>
      <c r="E63" s="308"/>
      <c r="F63" s="308"/>
      <c r="G63" s="308"/>
      <c r="H63" s="308"/>
      <c r="I63" s="308"/>
      <c r="J63" s="308"/>
      <c r="K63" s="308"/>
      <c r="L63" s="308"/>
      <c r="M63" s="308"/>
      <c r="N63" s="308"/>
      <c r="O63" s="308"/>
      <c r="P63" s="308"/>
      <c r="Q63" s="308"/>
      <c r="R63" s="308"/>
      <c r="S63" s="308"/>
      <c r="T63" s="308"/>
      <c r="U63" s="244">
        <f t="shared" si="0"/>
        <v>0</v>
      </c>
    </row>
    <row r="64" spans="1:21" hidden="1" x14ac:dyDescent="0.3">
      <c r="A64" s="306">
        <v>69</v>
      </c>
      <c r="B64" s="306" t="s">
        <v>252</v>
      </c>
      <c r="C64" s="307"/>
      <c r="D64" s="308"/>
      <c r="E64" s="308"/>
      <c r="F64" s="308"/>
      <c r="G64" s="308"/>
      <c r="H64" s="308"/>
      <c r="I64" s="308"/>
      <c r="J64" s="308"/>
      <c r="K64" s="308"/>
      <c r="L64" s="308"/>
      <c r="M64" s="308"/>
      <c r="N64" s="308"/>
      <c r="O64" s="308"/>
      <c r="P64" s="308"/>
      <c r="Q64" s="308"/>
      <c r="R64" s="308"/>
      <c r="S64" s="308"/>
      <c r="T64" s="308"/>
      <c r="U64" s="244">
        <f t="shared" si="0"/>
        <v>0</v>
      </c>
    </row>
    <row r="65" spans="1:21" hidden="1" x14ac:dyDescent="0.3">
      <c r="A65" s="306">
        <v>70</v>
      </c>
      <c r="B65" s="306" t="s">
        <v>253</v>
      </c>
      <c r="C65" s="307"/>
      <c r="D65" s="308"/>
      <c r="E65" s="308"/>
      <c r="F65" s="308"/>
      <c r="G65" s="308"/>
      <c r="H65" s="308"/>
      <c r="I65" s="308"/>
      <c r="J65" s="308"/>
      <c r="K65" s="308"/>
      <c r="L65" s="308"/>
      <c r="M65" s="308"/>
      <c r="N65" s="308"/>
      <c r="O65" s="308"/>
      <c r="P65" s="308"/>
      <c r="Q65" s="308"/>
      <c r="R65" s="308"/>
      <c r="S65" s="308"/>
      <c r="T65" s="308"/>
      <c r="U65" s="244">
        <f t="shared" si="0"/>
        <v>0</v>
      </c>
    </row>
    <row r="66" spans="1:21" hidden="1" x14ac:dyDescent="0.3">
      <c r="A66" s="306">
        <v>71</v>
      </c>
      <c r="B66" s="306" t="s">
        <v>254</v>
      </c>
      <c r="C66" s="307"/>
      <c r="D66" s="308"/>
      <c r="E66" s="308"/>
      <c r="F66" s="308"/>
      <c r="G66" s="308"/>
      <c r="H66" s="308"/>
      <c r="I66" s="308"/>
      <c r="J66" s="308"/>
      <c r="K66" s="308"/>
      <c r="L66" s="308"/>
      <c r="M66" s="308"/>
      <c r="N66" s="308"/>
      <c r="O66" s="308"/>
      <c r="P66" s="308"/>
      <c r="Q66" s="308"/>
      <c r="R66" s="308"/>
      <c r="S66" s="308"/>
      <c r="T66" s="308"/>
      <c r="U66" s="244">
        <f t="shared" si="0"/>
        <v>0</v>
      </c>
    </row>
    <row r="67" spans="1:21" hidden="1" x14ac:dyDescent="0.3">
      <c r="A67" s="306">
        <v>73</v>
      </c>
      <c r="B67" s="306" t="s">
        <v>257</v>
      </c>
      <c r="C67" s="307"/>
      <c r="D67" s="308"/>
      <c r="E67" s="308"/>
      <c r="F67" s="308"/>
      <c r="G67" s="308"/>
      <c r="H67" s="308"/>
      <c r="I67" s="308"/>
      <c r="J67" s="308"/>
      <c r="K67" s="308"/>
      <c r="L67" s="308"/>
      <c r="M67" s="308"/>
      <c r="N67" s="308"/>
      <c r="O67" s="308"/>
      <c r="P67" s="308"/>
      <c r="Q67" s="308"/>
      <c r="R67" s="308"/>
      <c r="S67" s="308"/>
      <c r="T67" s="308"/>
      <c r="U67" s="244">
        <f t="shared" si="0"/>
        <v>0</v>
      </c>
    </row>
    <row r="68" spans="1:21" hidden="1" x14ac:dyDescent="0.3">
      <c r="A68" s="306">
        <v>74</v>
      </c>
      <c r="B68" s="306" t="s">
        <v>259</v>
      </c>
      <c r="C68" s="307"/>
      <c r="D68" s="308"/>
      <c r="E68" s="308"/>
      <c r="F68" s="308"/>
      <c r="G68" s="308"/>
      <c r="H68" s="308"/>
      <c r="I68" s="308"/>
      <c r="J68" s="308"/>
      <c r="K68" s="308"/>
      <c r="L68" s="308"/>
      <c r="M68" s="308"/>
      <c r="N68" s="308"/>
      <c r="O68" s="308"/>
      <c r="P68" s="308"/>
      <c r="Q68" s="308"/>
      <c r="R68" s="308"/>
      <c r="S68" s="308"/>
      <c r="T68" s="308"/>
      <c r="U68" s="244">
        <f t="shared" si="0"/>
        <v>0</v>
      </c>
    </row>
    <row r="69" spans="1:21" hidden="1" x14ac:dyDescent="0.3">
      <c r="A69" s="306">
        <v>75</v>
      </c>
      <c r="B69" s="306" t="s">
        <v>260</v>
      </c>
      <c r="C69" s="307"/>
      <c r="D69" s="308"/>
      <c r="E69" s="308"/>
      <c r="F69" s="308"/>
      <c r="G69" s="308"/>
      <c r="H69" s="308"/>
      <c r="I69" s="308"/>
      <c r="J69" s="308"/>
      <c r="K69" s="308"/>
      <c r="L69" s="308"/>
      <c r="M69" s="308"/>
      <c r="N69" s="308"/>
      <c r="O69" s="308"/>
      <c r="P69" s="308"/>
      <c r="Q69" s="308"/>
      <c r="R69" s="308"/>
      <c r="S69" s="308"/>
      <c r="T69" s="308"/>
      <c r="U69" s="244">
        <f t="shared" si="0"/>
        <v>0</v>
      </c>
    </row>
    <row r="70" spans="1:21" hidden="1" x14ac:dyDescent="0.3">
      <c r="A70" s="306">
        <v>76</v>
      </c>
      <c r="B70" s="306" t="s">
        <v>261</v>
      </c>
      <c r="C70" s="307"/>
      <c r="D70" s="308"/>
      <c r="E70" s="308"/>
      <c r="F70" s="308"/>
      <c r="G70" s="308"/>
      <c r="H70" s="308"/>
      <c r="I70" s="308"/>
      <c r="J70" s="308"/>
      <c r="K70" s="308"/>
      <c r="L70" s="308"/>
      <c r="M70" s="308"/>
      <c r="N70" s="308"/>
      <c r="O70" s="308"/>
      <c r="P70" s="308"/>
      <c r="Q70" s="308"/>
      <c r="R70" s="308"/>
      <c r="S70" s="308"/>
      <c r="T70" s="308"/>
      <c r="U70" s="244">
        <f t="shared" si="0"/>
        <v>0</v>
      </c>
    </row>
    <row r="71" spans="1:21" hidden="1" x14ac:dyDescent="0.3">
      <c r="A71" s="306">
        <v>77</v>
      </c>
      <c r="B71" s="306" t="s">
        <v>262</v>
      </c>
      <c r="C71" s="307"/>
      <c r="D71" s="308"/>
      <c r="E71" s="308"/>
      <c r="F71" s="308"/>
      <c r="G71" s="308"/>
      <c r="H71" s="308"/>
      <c r="I71" s="308"/>
      <c r="J71" s="308"/>
      <c r="K71" s="308"/>
      <c r="L71" s="308"/>
      <c r="M71" s="308"/>
      <c r="N71" s="308"/>
      <c r="O71" s="308"/>
      <c r="P71" s="308"/>
      <c r="Q71" s="308"/>
      <c r="R71" s="308"/>
      <c r="S71" s="308"/>
      <c r="T71" s="308"/>
      <c r="U71" s="244">
        <f t="shared" si="0"/>
        <v>0</v>
      </c>
    </row>
    <row r="72" spans="1:21" hidden="1" x14ac:dyDescent="0.3">
      <c r="A72" s="306">
        <v>78</v>
      </c>
      <c r="B72" s="306" t="s">
        <v>263</v>
      </c>
      <c r="C72" s="307"/>
      <c r="D72" s="308">
        <v>4273000</v>
      </c>
      <c r="E72" s="308"/>
      <c r="F72" s="308"/>
      <c r="G72" s="308"/>
      <c r="H72" s="308"/>
      <c r="I72" s="308"/>
      <c r="J72" s="308"/>
      <c r="K72" s="308"/>
      <c r="L72" s="308"/>
      <c r="M72" s="308"/>
      <c r="N72" s="308"/>
      <c r="O72" s="308"/>
      <c r="P72" s="308"/>
      <c r="Q72" s="308"/>
      <c r="R72" s="308"/>
      <c r="S72" s="308"/>
      <c r="T72" s="308"/>
      <c r="U72" s="244">
        <f t="shared" ref="U72:U135" si="1">SUM(C72:T72)</f>
        <v>4273000</v>
      </c>
    </row>
    <row r="73" spans="1:21" hidden="1" x14ac:dyDescent="0.3">
      <c r="A73" s="306">
        <v>79</v>
      </c>
      <c r="B73" s="306" t="s">
        <v>264</v>
      </c>
      <c r="C73" s="307"/>
      <c r="D73" s="308"/>
      <c r="E73" s="308"/>
      <c r="F73" s="308"/>
      <c r="G73" s="308"/>
      <c r="H73" s="308"/>
      <c r="I73" s="308"/>
      <c r="J73" s="308"/>
      <c r="K73" s="308"/>
      <c r="L73" s="308"/>
      <c r="M73" s="308"/>
      <c r="N73" s="308"/>
      <c r="O73" s="308"/>
      <c r="P73" s="308"/>
      <c r="Q73" s="308"/>
      <c r="R73" s="308"/>
      <c r="S73" s="308"/>
      <c r="T73" s="308"/>
      <c r="U73" s="244">
        <f t="shared" si="1"/>
        <v>0</v>
      </c>
    </row>
    <row r="74" spans="1:21" hidden="1" x14ac:dyDescent="0.3">
      <c r="A74" s="306">
        <v>80</v>
      </c>
      <c r="B74" s="306" t="s">
        <v>265</v>
      </c>
      <c r="C74" s="307"/>
      <c r="D74" s="308"/>
      <c r="E74" s="308"/>
      <c r="F74" s="308"/>
      <c r="G74" s="308"/>
      <c r="H74" s="308"/>
      <c r="I74" s="308"/>
      <c r="J74" s="308"/>
      <c r="K74" s="308"/>
      <c r="L74" s="308"/>
      <c r="M74" s="308"/>
      <c r="N74" s="308"/>
      <c r="O74" s="308"/>
      <c r="P74" s="308"/>
      <c r="Q74" s="308"/>
      <c r="R74" s="308"/>
      <c r="S74" s="308"/>
      <c r="T74" s="308"/>
      <c r="U74" s="244">
        <f t="shared" si="1"/>
        <v>0</v>
      </c>
    </row>
    <row r="75" spans="1:21" hidden="1" x14ac:dyDescent="0.3">
      <c r="A75" s="306">
        <v>81</v>
      </c>
      <c r="B75" s="306" t="s">
        <v>266</v>
      </c>
      <c r="C75" s="307">
        <v>108000</v>
      </c>
      <c r="D75" s="308"/>
      <c r="E75" s="308"/>
      <c r="F75" s="308"/>
      <c r="G75" s="308"/>
      <c r="H75" s="308"/>
      <c r="I75" s="308"/>
      <c r="J75" s="308"/>
      <c r="K75" s="308"/>
      <c r="L75" s="308"/>
      <c r="M75" s="308"/>
      <c r="N75" s="308"/>
      <c r="O75" s="308"/>
      <c r="P75" s="308"/>
      <c r="Q75" s="308"/>
      <c r="R75" s="308"/>
      <c r="S75" s="308"/>
      <c r="T75" s="308"/>
      <c r="U75" s="244">
        <f t="shared" si="1"/>
        <v>108000</v>
      </c>
    </row>
    <row r="76" spans="1:21" hidden="1" x14ac:dyDescent="0.3">
      <c r="A76" s="306">
        <v>84</v>
      </c>
      <c r="B76" s="306" t="s">
        <v>271</v>
      </c>
      <c r="C76" s="307"/>
      <c r="D76" s="308"/>
      <c r="E76" s="308"/>
      <c r="F76" s="308"/>
      <c r="G76" s="308"/>
      <c r="H76" s="308"/>
      <c r="I76" s="308"/>
      <c r="J76" s="308"/>
      <c r="K76" s="308"/>
      <c r="L76" s="308"/>
      <c r="M76" s="308"/>
      <c r="N76" s="308"/>
      <c r="O76" s="308"/>
      <c r="P76" s="308"/>
      <c r="Q76" s="308"/>
      <c r="R76" s="308"/>
      <c r="S76" s="308"/>
      <c r="T76" s="308"/>
      <c r="U76" s="244">
        <f t="shared" si="1"/>
        <v>0</v>
      </c>
    </row>
    <row r="77" spans="1:21" hidden="1" x14ac:dyDescent="0.3">
      <c r="A77" s="306">
        <v>85</v>
      </c>
      <c r="B77" s="306" t="s">
        <v>273</v>
      </c>
      <c r="C77" s="307">
        <v>94976</v>
      </c>
      <c r="D77" s="308"/>
      <c r="E77" s="308"/>
      <c r="F77" s="308"/>
      <c r="G77" s="308"/>
      <c r="H77" s="308"/>
      <c r="I77" s="308"/>
      <c r="J77" s="308"/>
      <c r="K77" s="308"/>
      <c r="L77" s="308"/>
      <c r="M77" s="308"/>
      <c r="N77" s="308"/>
      <c r="O77" s="308"/>
      <c r="P77" s="308"/>
      <c r="Q77" s="308"/>
      <c r="R77" s="308"/>
      <c r="S77" s="308"/>
      <c r="T77" s="308"/>
      <c r="U77" s="244">
        <f t="shared" si="1"/>
        <v>94976</v>
      </c>
    </row>
    <row r="78" spans="1:21" hidden="1" x14ac:dyDescent="0.3">
      <c r="A78" s="306">
        <v>86</v>
      </c>
      <c r="B78" s="306" t="s">
        <v>274</v>
      </c>
      <c r="C78" s="307"/>
      <c r="D78" s="308"/>
      <c r="E78" s="308"/>
      <c r="F78" s="308"/>
      <c r="G78" s="308"/>
      <c r="H78" s="308"/>
      <c r="I78" s="308"/>
      <c r="J78" s="308"/>
      <c r="K78" s="308"/>
      <c r="L78" s="308"/>
      <c r="M78" s="308"/>
      <c r="N78" s="308"/>
      <c r="O78" s="308"/>
      <c r="P78" s="308"/>
      <c r="Q78" s="308"/>
      <c r="R78" s="308"/>
      <c r="S78" s="308"/>
      <c r="T78" s="308"/>
      <c r="U78" s="244">
        <f t="shared" si="1"/>
        <v>0</v>
      </c>
    </row>
    <row r="79" spans="1:21" hidden="1" x14ac:dyDescent="0.3">
      <c r="A79" s="306">
        <v>87</v>
      </c>
      <c r="B79" s="306" t="s">
        <v>275</v>
      </c>
      <c r="C79" s="307"/>
      <c r="D79" s="308"/>
      <c r="E79" s="308"/>
      <c r="F79" s="308"/>
      <c r="G79" s="308"/>
      <c r="H79" s="308"/>
      <c r="I79" s="308"/>
      <c r="J79" s="308"/>
      <c r="K79" s="308"/>
      <c r="L79" s="308"/>
      <c r="M79" s="308"/>
      <c r="N79" s="308"/>
      <c r="O79" s="308"/>
      <c r="P79" s="308"/>
      <c r="Q79" s="308"/>
      <c r="R79" s="308"/>
      <c r="S79" s="308"/>
      <c r="T79" s="308"/>
      <c r="U79" s="244">
        <f t="shared" si="1"/>
        <v>0</v>
      </c>
    </row>
    <row r="80" spans="1:21" hidden="1" x14ac:dyDescent="0.3">
      <c r="A80" s="306">
        <v>88</v>
      </c>
      <c r="B80" s="306" t="s">
        <v>276</v>
      </c>
      <c r="C80" s="307"/>
      <c r="D80" s="308"/>
      <c r="E80" s="308"/>
      <c r="F80" s="308"/>
      <c r="G80" s="308"/>
      <c r="H80" s="308"/>
      <c r="I80" s="308"/>
      <c r="J80" s="308"/>
      <c r="K80" s="308"/>
      <c r="L80" s="308"/>
      <c r="M80" s="308"/>
      <c r="N80" s="308"/>
      <c r="O80" s="308"/>
      <c r="P80" s="308"/>
      <c r="Q80" s="308"/>
      <c r="R80" s="308"/>
      <c r="S80" s="308"/>
      <c r="T80" s="308"/>
      <c r="U80" s="244">
        <f t="shared" si="1"/>
        <v>0</v>
      </c>
    </row>
    <row r="81" spans="1:21" hidden="1" x14ac:dyDescent="0.3">
      <c r="A81" s="306">
        <v>90</v>
      </c>
      <c r="B81" s="306" t="s">
        <v>279</v>
      </c>
      <c r="C81" s="307"/>
      <c r="D81" s="308"/>
      <c r="E81" s="308"/>
      <c r="F81" s="308"/>
      <c r="G81" s="308"/>
      <c r="H81" s="308"/>
      <c r="I81" s="308"/>
      <c r="J81" s="308"/>
      <c r="K81" s="308"/>
      <c r="L81" s="308"/>
      <c r="M81" s="308"/>
      <c r="N81" s="308"/>
      <c r="O81" s="308"/>
      <c r="P81" s="308"/>
      <c r="Q81" s="308"/>
      <c r="R81" s="308"/>
      <c r="S81" s="308"/>
      <c r="T81" s="308"/>
      <c r="U81" s="244">
        <f t="shared" si="1"/>
        <v>0</v>
      </c>
    </row>
    <row r="82" spans="1:21" hidden="1" x14ac:dyDescent="0.3">
      <c r="A82" s="306">
        <v>91</v>
      </c>
      <c r="B82" s="306" t="s">
        <v>281</v>
      </c>
      <c r="C82" s="307"/>
      <c r="D82" s="308"/>
      <c r="E82" s="308"/>
      <c r="F82" s="308"/>
      <c r="G82" s="308"/>
      <c r="H82" s="308"/>
      <c r="I82" s="308"/>
      <c r="J82" s="308"/>
      <c r="K82" s="308"/>
      <c r="L82" s="308"/>
      <c r="M82" s="308"/>
      <c r="N82" s="308"/>
      <c r="O82" s="308"/>
      <c r="P82" s="308"/>
      <c r="Q82" s="308"/>
      <c r="R82" s="308"/>
      <c r="S82" s="308"/>
      <c r="T82" s="308"/>
      <c r="U82" s="244">
        <f t="shared" si="1"/>
        <v>0</v>
      </c>
    </row>
    <row r="83" spans="1:21" hidden="1" x14ac:dyDescent="0.3">
      <c r="A83" s="306">
        <v>92</v>
      </c>
      <c r="B83" s="306" t="s">
        <v>282</v>
      </c>
      <c r="C83" s="307"/>
      <c r="D83" s="308"/>
      <c r="E83" s="308"/>
      <c r="F83" s="308"/>
      <c r="G83" s="308"/>
      <c r="H83" s="308"/>
      <c r="I83" s="308"/>
      <c r="J83" s="308"/>
      <c r="K83" s="308"/>
      <c r="L83" s="308"/>
      <c r="M83" s="308"/>
      <c r="N83" s="308"/>
      <c r="O83" s="308"/>
      <c r="P83" s="308"/>
      <c r="Q83" s="308"/>
      <c r="R83" s="308"/>
      <c r="S83" s="308"/>
      <c r="T83" s="308"/>
      <c r="U83" s="244">
        <f t="shared" si="1"/>
        <v>0</v>
      </c>
    </row>
    <row r="84" spans="1:21" hidden="1" x14ac:dyDescent="0.3">
      <c r="A84" s="306">
        <v>93</v>
      </c>
      <c r="B84" s="306" t="s">
        <v>284</v>
      </c>
      <c r="C84" s="307"/>
      <c r="D84" s="308"/>
      <c r="E84" s="308"/>
      <c r="F84" s="308"/>
      <c r="G84" s="308"/>
      <c r="H84" s="308"/>
      <c r="I84" s="308"/>
      <c r="J84" s="308"/>
      <c r="K84" s="308"/>
      <c r="L84" s="308"/>
      <c r="M84" s="308"/>
      <c r="N84" s="308"/>
      <c r="O84" s="308"/>
      <c r="P84" s="308"/>
      <c r="Q84" s="308"/>
      <c r="R84" s="308"/>
      <c r="S84" s="308"/>
      <c r="T84" s="308"/>
      <c r="U84" s="244">
        <f t="shared" si="1"/>
        <v>0</v>
      </c>
    </row>
    <row r="85" spans="1:21" hidden="1" x14ac:dyDescent="0.3">
      <c r="A85" s="306">
        <v>96</v>
      </c>
      <c r="B85" s="306" t="s">
        <v>289</v>
      </c>
      <c r="C85" s="307"/>
      <c r="D85" s="308"/>
      <c r="E85" s="308"/>
      <c r="F85" s="308"/>
      <c r="G85" s="308"/>
      <c r="H85" s="308"/>
      <c r="I85" s="308"/>
      <c r="J85" s="308"/>
      <c r="K85" s="308"/>
      <c r="L85" s="308"/>
      <c r="M85" s="308"/>
      <c r="N85" s="308"/>
      <c r="O85" s="308"/>
      <c r="P85" s="308"/>
      <c r="Q85" s="308"/>
      <c r="R85" s="308"/>
      <c r="S85" s="308"/>
      <c r="T85" s="308"/>
      <c r="U85" s="244">
        <f t="shared" si="1"/>
        <v>0</v>
      </c>
    </row>
    <row r="86" spans="1:21" hidden="1" x14ac:dyDescent="0.3">
      <c r="A86" s="306">
        <v>97</v>
      </c>
      <c r="B86" s="306" t="s">
        <v>291</v>
      </c>
      <c r="C86" s="307"/>
      <c r="D86" s="308"/>
      <c r="E86" s="308"/>
      <c r="F86" s="308"/>
      <c r="G86" s="308"/>
      <c r="H86" s="308"/>
      <c r="I86" s="308"/>
      <c r="J86" s="308"/>
      <c r="K86" s="308"/>
      <c r="L86" s="308"/>
      <c r="M86" s="308"/>
      <c r="N86" s="308"/>
      <c r="O86" s="308"/>
      <c r="P86" s="308"/>
      <c r="Q86" s="308"/>
      <c r="R86" s="308"/>
      <c r="S86" s="308"/>
      <c r="T86" s="308"/>
      <c r="U86" s="244">
        <f t="shared" si="1"/>
        <v>0</v>
      </c>
    </row>
    <row r="87" spans="1:21" hidden="1" x14ac:dyDescent="0.3">
      <c r="A87" s="306">
        <v>98</v>
      </c>
      <c r="B87" s="306" t="s">
        <v>292</v>
      </c>
      <c r="C87" s="307"/>
      <c r="D87" s="308"/>
      <c r="E87" s="308"/>
      <c r="F87" s="308"/>
      <c r="G87" s="308"/>
      <c r="H87" s="308"/>
      <c r="I87" s="308"/>
      <c r="J87" s="308"/>
      <c r="K87" s="308"/>
      <c r="L87" s="308"/>
      <c r="M87" s="308"/>
      <c r="N87" s="308"/>
      <c r="O87" s="308"/>
      <c r="P87" s="308"/>
      <c r="Q87" s="308"/>
      <c r="R87" s="308"/>
      <c r="S87" s="308"/>
      <c r="T87" s="308"/>
      <c r="U87" s="244">
        <f t="shared" si="1"/>
        <v>0</v>
      </c>
    </row>
    <row r="88" spans="1:21" hidden="1" x14ac:dyDescent="0.3">
      <c r="A88" s="306">
        <v>99</v>
      </c>
      <c r="B88" s="306" t="s">
        <v>293</v>
      </c>
      <c r="C88" s="307"/>
      <c r="D88" s="308"/>
      <c r="E88" s="308"/>
      <c r="F88" s="308"/>
      <c r="G88" s="308"/>
      <c r="H88" s="308"/>
      <c r="I88" s="308"/>
      <c r="J88" s="308"/>
      <c r="K88" s="308"/>
      <c r="L88" s="308"/>
      <c r="M88" s="308"/>
      <c r="N88" s="308"/>
      <c r="O88" s="308"/>
      <c r="P88" s="308"/>
      <c r="Q88" s="308"/>
      <c r="R88" s="308"/>
      <c r="S88" s="308"/>
      <c r="T88" s="308"/>
      <c r="U88" s="244">
        <f t="shared" si="1"/>
        <v>0</v>
      </c>
    </row>
    <row r="89" spans="1:21" hidden="1" x14ac:dyDescent="0.3">
      <c r="A89" s="306">
        <v>100</v>
      </c>
      <c r="B89" s="306" t="s">
        <v>294</v>
      </c>
      <c r="C89" s="307"/>
      <c r="D89" s="308"/>
      <c r="E89" s="308"/>
      <c r="F89" s="308"/>
      <c r="G89" s="308"/>
      <c r="H89" s="308"/>
      <c r="I89" s="308"/>
      <c r="J89" s="308"/>
      <c r="K89" s="308"/>
      <c r="L89" s="308"/>
      <c r="M89" s="308"/>
      <c r="N89" s="308"/>
      <c r="O89" s="308"/>
      <c r="P89" s="308"/>
      <c r="Q89" s="308"/>
      <c r="R89" s="308"/>
      <c r="S89" s="308"/>
      <c r="T89" s="308"/>
      <c r="U89" s="244">
        <f t="shared" si="1"/>
        <v>0</v>
      </c>
    </row>
    <row r="90" spans="1:21" hidden="1" x14ac:dyDescent="0.3">
      <c r="A90" s="306">
        <v>102</v>
      </c>
      <c r="B90" s="306" t="s">
        <v>297</v>
      </c>
      <c r="C90" s="307"/>
      <c r="D90" s="308"/>
      <c r="E90" s="308"/>
      <c r="F90" s="308"/>
      <c r="G90" s="308"/>
      <c r="H90" s="308"/>
      <c r="I90" s="308"/>
      <c r="J90" s="308"/>
      <c r="K90" s="308"/>
      <c r="L90" s="308"/>
      <c r="M90" s="308"/>
      <c r="N90" s="308"/>
      <c r="O90" s="308"/>
      <c r="P90" s="308"/>
      <c r="Q90" s="308"/>
      <c r="R90" s="308"/>
      <c r="S90" s="308"/>
      <c r="T90" s="308"/>
      <c r="U90" s="244">
        <f t="shared" si="1"/>
        <v>0</v>
      </c>
    </row>
    <row r="91" spans="1:21" hidden="1" x14ac:dyDescent="0.3">
      <c r="A91" s="306">
        <v>104</v>
      </c>
      <c r="B91" s="306" t="s">
        <v>300</v>
      </c>
      <c r="C91" s="307"/>
      <c r="D91" s="308"/>
      <c r="E91" s="308"/>
      <c r="F91" s="308"/>
      <c r="G91" s="308"/>
      <c r="H91" s="308"/>
      <c r="I91" s="308"/>
      <c r="J91" s="308"/>
      <c r="K91" s="308"/>
      <c r="L91" s="308"/>
      <c r="M91" s="308"/>
      <c r="N91" s="308"/>
      <c r="O91" s="308"/>
      <c r="P91" s="308"/>
      <c r="Q91" s="308"/>
      <c r="R91" s="308"/>
      <c r="S91" s="308"/>
      <c r="T91" s="308"/>
      <c r="U91" s="244">
        <f t="shared" si="1"/>
        <v>0</v>
      </c>
    </row>
    <row r="92" spans="1:21" hidden="1" x14ac:dyDescent="0.3">
      <c r="A92" s="306">
        <v>105</v>
      </c>
      <c r="B92" s="306" t="s">
        <v>302</v>
      </c>
      <c r="C92" s="307"/>
      <c r="D92" s="308"/>
      <c r="E92" s="308"/>
      <c r="F92" s="308"/>
      <c r="G92" s="308"/>
      <c r="H92" s="308"/>
      <c r="I92" s="308"/>
      <c r="J92" s="308"/>
      <c r="K92" s="308"/>
      <c r="L92" s="308"/>
      <c r="M92" s="308"/>
      <c r="N92" s="308"/>
      <c r="O92" s="308"/>
      <c r="P92" s="308"/>
      <c r="Q92" s="308"/>
      <c r="R92" s="308"/>
      <c r="S92" s="308"/>
      <c r="T92" s="308"/>
      <c r="U92" s="244">
        <f t="shared" si="1"/>
        <v>0</v>
      </c>
    </row>
    <row r="93" spans="1:21" hidden="1" x14ac:dyDescent="0.3">
      <c r="A93" s="306">
        <v>106</v>
      </c>
      <c r="B93" s="306" t="s">
        <v>304</v>
      </c>
      <c r="C93" s="307"/>
      <c r="D93" s="308"/>
      <c r="E93" s="308"/>
      <c r="F93" s="308"/>
      <c r="G93" s="308"/>
      <c r="H93" s="308"/>
      <c r="I93" s="308"/>
      <c r="J93" s="308"/>
      <c r="K93" s="308"/>
      <c r="L93" s="308"/>
      <c r="M93" s="308"/>
      <c r="N93" s="308"/>
      <c r="O93" s="308"/>
      <c r="P93" s="308"/>
      <c r="Q93" s="308"/>
      <c r="R93" s="308"/>
      <c r="S93" s="308"/>
      <c r="T93" s="308"/>
      <c r="U93" s="244">
        <f t="shared" si="1"/>
        <v>0</v>
      </c>
    </row>
    <row r="94" spans="1:21" hidden="1" x14ac:dyDescent="0.3">
      <c r="A94" s="306">
        <v>108</v>
      </c>
      <c r="B94" s="306" t="s">
        <v>307</v>
      </c>
      <c r="C94" s="307"/>
      <c r="D94" s="308"/>
      <c r="E94" s="308"/>
      <c r="F94" s="308"/>
      <c r="G94" s="308"/>
      <c r="H94" s="308"/>
      <c r="I94" s="308"/>
      <c r="J94" s="308"/>
      <c r="K94" s="308"/>
      <c r="L94" s="308"/>
      <c r="M94" s="308"/>
      <c r="N94" s="308"/>
      <c r="O94" s="308"/>
      <c r="P94" s="308"/>
      <c r="Q94" s="308"/>
      <c r="R94" s="308"/>
      <c r="S94" s="308"/>
      <c r="T94" s="308"/>
      <c r="U94" s="244">
        <f t="shared" si="1"/>
        <v>0</v>
      </c>
    </row>
    <row r="95" spans="1:21" hidden="1" x14ac:dyDescent="0.3">
      <c r="A95" s="306">
        <v>109</v>
      </c>
      <c r="B95" s="306" t="s">
        <v>309</v>
      </c>
      <c r="C95" s="307"/>
      <c r="D95" s="308"/>
      <c r="E95" s="308"/>
      <c r="F95" s="308"/>
      <c r="G95" s="308"/>
      <c r="H95" s="308"/>
      <c r="I95" s="308"/>
      <c r="J95" s="308"/>
      <c r="K95" s="308"/>
      <c r="L95" s="308"/>
      <c r="M95" s="308"/>
      <c r="N95" s="308"/>
      <c r="O95" s="308"/>
      <c r="P95" s="308"/>
      <c r="Q95" s="308"/>
      <c r="R95" s="308"/>
      <c r="S95" s="308"/>
      <c r="T95" s="308"/>
      <c r="U95" s="244">
        <f t="shared" si="1"/>
        <v>0</v>
      </c>
    </row>
    <row r="96" spans="1:21" hidden="1" x14ac:dyDescent="0.3">
      <c r="A96" s="306">
        <v>110</v>
      </c>
      <c r="B96" s="306" t="s">
        <v>310</v>
      </c>
      <c r="C96" s="307"/>
      <c r="D96" s="308"/>
      <c r="E96" s="308"/>
      <c r="F96" s="308"/>
      <c r="G96" s="308"/>
      <c r="H96" s="308"/>
      <c r="I96" s="308"/>
      <c r="J96" s="308"/>
      <c r="K96" s="308"/>
      <c r="L96" s="308"/>
      <c r="M96" s="308"/>
      <c r="N96" s="308"/>
      <c r="O96" s="308"/>
      <c r="P96" s="308"/>
      <c r="Q96" s="308"/>
      <c r="R96" s="308"/>
      <c r="S96" s="308"/>
      <c r="T96" s="308"/>
      <c r="U96" s="244">
        <f t="shared" si="1"/>
        <v>0</v>
      </c>
    </row>
    <row r="97" spans="1:21" hidden="1" x14ac:dyDescent="0.3">
      <c r="A97" s="306">
        <v>112</v>
      </c>
      <c r="B97" s="306" t="s">
        <v>313</v>
      </c>
      <c r="C97" s="307"/>
      <c r="D97" s="308"/>
      <c r="E97" s="308"/>
      <c r="F97" s="308"/>
      <c r="G97" s="308"/>
      <c r="H97" s="308"/>
      <c r="I97" s="308"/>
      <c r="J97" s="308"/>
      <c r="K97" s="308"/>
      <c r="L97" s="308"/>
      <c r="M97" s="308"/>
      <c r="N97" s="308"/>
      <c r="O97" s="308"/>
      <c r="P97" s="308"/>
      <c r="Q97" s="308"/>
      <c r="R97" s="308"/>
      <c r="S97" s="308"/>
      <c r="T97" s="308"/>
      <c r="U97" s="244">
        <f t="shared" si="1"/>
        <v>0</v>
      </c>
    </row>
    <row r="98" spans="1:21" hidden="1" x14ac:dyDescent="0.3">
      <c r="A98" s="306">
        <v>113</v>
      </c>
      <c r="B98" s="306" t="s">
        <v>315</v>
      </c>
      <c r="C98" s="307"/>
      <c r="D98" s="308"/>
      <c r="E98" s="308"/>
      <c r="F98" s="308"/>
      <c r="G98" s="308"/>
      <c r="H98" s="308"/>
      <c r="I98" s="308"/>
      <c r="J98" s="308"/>
      <c r="K98" s="308"/>
      <c r="L98" s="308"/>
      <c r="M98" s="308"/>
      <c r="N98" s="308"/>
      <c r="O98" s="308"/>
      <c r="P98" s="308"/>
      <c r="Q98" s="308"/>
      <c r="R98" s="308"/>
      <c r="S98" s="308"/>
      <c r="T98" s="308"/>
      <c r="U98" s="244">
        <f t="shared" si="1"/>
        <v>0</v>
      </c>
    </row>
    <row r="99" spans="1:21" hidden="1" x14ac:dyDescent="0.3">
      <c r="A99" s="306">
        <v>115</v>
      </c>
      <c r="B99" s="306" t="s">
        <v>319</v>
      </c>
      <c r="C99" s="307"/>
      <c r="D99" s="308"/>
      <c r="E99" s="308"/>
      <c r="F99" s="308"/>
      <c r="G99" s="308"/>
      <c r="H99" s="308"/>
      <c r="I99" s="308"/>
      <c r="J99" s="308"/>
      <c r="K99" s="308"/>
      <c r="L99" s="308"/>
      <c r="M99" s="308"/>
      <c r="N99" s="308"/>
      <c r="O99" s="308"/>
      <c r="P99" s="308"/>
      <c r="Q99" s="308"/>
      <c r="R99" s="308"/>
      <c r="S99" s="308"/>
      <c r="T99" s="308"/>
      <c r="U99" s="244">
        <f t="shared" si="1"/>
        <v>0</v>
      </c>
    </row>
    <row r="100" spans="1:21" hidden="1" x14ac:dyDescent="0.3">
      <c r="A100" s="306">
        <v>116</v>
      </c>
      <c r="B100" s="306" t="s">
        <v>321</v>
      </c>
      <c r="C100" s="307"/>
      <c r="D100" s="308"/>
      <c r="E100" s="308"/>
      <c r="F100" s="308"/>
      <c r="G100" s="308"/>
      <c r="H100" s="308"/>
      <c r="I100" s="308"/>
      <c r="J100" s="308"/>
      <c r="K100" s="308"/>
      <c r="L100" s="308"/>
      <c r="M100" s="308"/>
      <c r="N100" s="308"/>
      <c r="O100" s="308"/>
      <c r="P100" s="308"/>
      <c r="Q100" s="308"/>
      <c r="R100" s="308"/>
      <c r="S100" s="308"/>
      <c r="T100" s="308"/>
      <c r="U100" s="244">
        <f t="shared" si="1"/>
        <v>0</v>
      </c>
    </row>
    <row r="101" spans="1:21" hidden="1" x14ac:dyDescent="0.3">
      <c r="A101" s="306">
        <v>117</v>
      </c>
      <c r="B101" s="306" t="s">
        <v>322</v>
      </c>
      <c r="C101" s="307"/>
      <c r="D101" s="308"/>
      <c r="E101" s="308"/>
      <c r="F101" s="308"/>
      <c r="G101" s="308"/>
      <c r="H101" s="308"/>
      <c r="I101" s="308"/>
      <c r="J101" s="308"/>
      <c r="K101" s="308"/>
      <c r="L101" s="308"/>
      <c r="M101" s="308"/>
      <c r="N101" s="308"/>
      <c r="O101" s="308"/>
      <c r="P101" s="308"/>
      <c r="Q101" s="308"/>
      <c r="R101" s="308"/>
      <c r="S101" s="308"/>
      <c r="T101" s="308"/>
      <c r="U101" s="244">
        <f t="shared" si="1"/>
        <v>0</v>
      </c>
    </row>
    <row r="102" spans="1:21" hidden="1" x14ac:dyDescent="0.3">
      <c r="A102" s="306">
        <v>118</v>
      </c>
      <c r="B102" s="306" t="s">
        <v>323</v>
      </c>
      <c r="C102" s="307"/>
      <c r="D102" s="308"/>
      <c r="E102" s="308"/>
      <c r="F102" s="308"/>
      <c r="G102" s="308"/>
      <c r="H102" s="308"/>
      <c r="I102" s="308"/>
      <c r="J102" s="308"/>
      <c r="K102" s="308"/>
      <c r="L102" s="308"/>
      <c r="M102" s="308"/>
      <c r="N102" s="308"/>
      <c r="O102" s="308"/>
      <c r="P102" s="308"/>
      <c r="Q102" s="308"/>
      <c r="R102" s="308"/>
      <c r="S102" s="308"/>
      <c r="T102" s="308"/>
      <c r="U102" s="244">
        <f t="shared" si="1"/>
        <v>0</v>
      </c>
    </row>
    <row r="103" spans="1:21" hidden="1" x14ac:dyDescent="0.3">
      <c r="A103" s="306">
        <v>119</v>
      </c>
      <c r="B103" s="306" t="s">
        <v>324</v>
      </c>
      <c r="C103" s="307"/>
      <c r="D103" s="308"/>
      <c r="E103" s="308"/>
      <c r="F103" s="308"/>
      <c r="G103" s="308"/>
      <c r="H103" s="308"/>
      <c r="I103" s="308"/>
      <c r="J103" s="308"/>
      <c r="K103" s="308"/>
      <c r="L103" s="308"/>
      <c r="M103" s="308"/>
      <c r="N103" s="308"/>
      <c r="O103" s="308"/>
      <c r="P103" s="308"/>
      <c r="Q103" s="308"/>
      <c r="R103" s="308"/>
      <c r="S103" s="308"/>
      <c r="T103" s="308"/>
      <c r="U103" s="244">
        <f t="shared" si="1"/>
        <v>0</v>
      </c>
    </row>
    <row r="104" spans="1:21" hidden="1" x14ac:dyDescent="0.3">
      <c r="A104" s="306">
        <v>120</v>
      </c>
      <c r="B104" s="306" t="s">
        <v>325</v>
      </c>
      <c r="C104" s="307"/>
      <c r="D104" s="308"/>
      <c r="E104" s="308"/>
      <c r="F104" s="308"/>
      <c r="G104" s="308"/>
      <c r="H104" s="308"/>
      <c r="I104" s="308"/>
      <c r="J104" s="308"/>
      <c r="K104" s="308"/>
      <c r="L104" s="308"/>
      <c r="M104" s="308"/>
      <c r="N104" s="308"/>
      <c r="O104" s="308"/>
      <c r="P104" s="308"/>
      <c r="Q104" s="308"/>
      <c r="R104" s="308"/>
      <c r="S104" s="308"/>
      <c r="T104" s="308"/>
      <c r="U104" s="244">
        <f t="shared" si="1"/>
        <v>0</v>
      </c>
    </row>
    <row r="105" spans="1:21" hidden="1" x14ac:dyDescent="0.3">
      <c r="A105" s="306">
        <v>122</v>
      </c>
      <c r="B105" s="306" t="s">
        <v>328</v>
      </c>
      <c r="C105" s="307"/>
      <c r="D105" s="308"/>
      <c r="E105" s="308"/>
      <c r="F105" s="308"/>
      <c r="G105" s="308"/>
      <c r="H105" s="308"/>
      <c r="I105" s="308"/>
      <c r="J105" s="308"/>
      <c r="K105" s="308"/>
      <c r="L105" s="308"/>
      <c r="M105" s="308"/>
      <c r="N105" s="308"/>
      <c r="O105" s="308"/>
      <c r="P105" s="308"/>
      <c r="Q105" s="308"/>
      <c r="R105" s="308"/>
      <c r="S105" s="308"/>
      <c r="T105" s="308"/>
      <c r="U105" s="244">
        <f t="shared" si="1"/>
        <v>0</v>
      </c>
    </row>
    <row r="106" spans="1:21" hidden="1" x14ac:dyDescent="0.3">
      <c r="A106" s="306">
        <v>123</v>
      </c>
      <c r="B106" s="306" t="s">
        <v>330</v>
      </c>
      <c r="C106" s="307"/>
      <c r="D106" s="308"/>
      <c r="E106" s="308"/>
      <c r="F106" s="308"/>
      <c r="G106" s="308"/>
      <c r="H106" s="308"/>
      <c r="I106" s="308"/>
      <c r="J106" s="308"/>
      <c r="K106" s="308"/>
      <c r="L106" s="308"/>
      <c r="M106" s="308"/>
      <c r="N106" s="308"/>
      <c r="O106" s="308"/>
      <c r="P106" s="308"/>
      <c r="Q106" s="308"/>
      <c r="R106" s="308"/>
      <c r="S106" s="308"/>
      <c r="T106" s="308"/>
      <c r="U106" s="244">
        <f t="shared" si="1"/>
        <v>0</v>
      </c>
    </row>
    <row r="107" spans="1:21" hidden="1" x14ac:dyDescent="0.3">
      <c r="A107" s="306">
        <v>124</v>
      </c>
      <c r="B107" s="306" t="s">
        <v>331</v>
      </c>
      <c r="C107" s="307"/>
      <c r="D107" s="308"/>
      <c r="E107" s="308"/>
      <c r="F107" s="308"/>
      <c r="G107" s="308"/>
      <c r="H107" s="308"/>
      <c r="I107" s="308"/>
      <c r="J107" s="308"/>
      <c r="K107" s="308"/>
      <c r="L107" s="308"/>
      <c r="M107" s="308"/>
      <c r="N107" s="308"/>
      <c r="O107" s="308"/>
      <c r="P107" s="308"/>
      <c r="Q107" s="308"/>
      <c r="R107" s="308"/>
      <c r="S107" s="308"/>
      <c r="T107" s="308"/>
      <c r="U107" s="244">
        <f t="shared" si="1"/>
        <v>0</v>
      </c>
    </row>
    <row r="108" spans="1:21" hidden="1" x14ac:dyDescent="0.3">
      <c r="A108" s="306">
        <v>125</v>
      </c>
      <c r="B108" s="306" t="s">
        <v>332</v>
      </c>
      <c r="C108" s="307"/>
      <c r="D108" s="308"/>
      <c r="E108" s="308"/>
      <c r="F108" s="308"/>
      <c r="G108" s="308"/>
      <c r="H108" s="308"/>
      <c r="I108" s="308"/>
      <c r="J108" s="308"/>
      <c r="K108" s="308"/>
      <c r="L108" s="308"/>
      <c r="M108" s="308"/>
      <c r="N108" s="308"/>
      <c r="O108" s="308"/>
      <c r="P108" s="308"/>
      <c r="Q108" s="308"/>
      <c r="R108" s="308"/>
      <c r="S108" s="308"/>
      <c r="T108" s="308"/>
      <c r="U108" s="244">
        <f t="shared" si="1"/>
        <v>0</v>
      </c>
    </row>
    <row r="109" spans="1:21" hidden="1" x14ac:dyDescent="0.3">
      <c r="A109" s="306">
        <v>126</v>
      </c>
      <c r="B109" s="306" t="s">
        <v>333</v>
      </c>
      <c r="C109" s="307"/>
      <c r="D109" s="308"/>
      <c r="E109" s="308"/>
      <c r="F109" s="308"/>
      <c r="G109" s="308"/>
      <c r="H109" s="308"/>
      <c r="I109" s="308"/>
      <c r="J109" s="308"/>
      <c r="K109" s="308"/>
      <c r="L109" s="308"/>
      <c r="M109" s="308"/>
      <c r="N109" s="308"/>
      <c r="O109" s="308"/>
      <c r="P109" s="308"/>
      <c r="Q109" s="308"/>
      <c r="R109" s="308"/>
      <c r="S109" s="308"/>
      <c r="T109" s="308"/>
      <c r="U109" s="244">
        <f t="shared" si="1"/>
        <v>0</v>
      </c>
    </row>
    <row r="110" spans="1:21" hidden="1" x14ac:dyDescent="0.3">
      <c r="A110" s="306">
        <v>127</v>
      </c>
      <c r="B110" s="306" t="s">
        <v>334</v>
      </c>
      <c r="C110" s="307"/>
      <c r="D110" s="308"/>
      <c r="E110" s="308"/>
      <c r="F110" s="308"/>
      <c r="G110" s="308"/>
      <c r="H110" s="308"/>
      <c r="I110" s="308"/>
      <c r="J110" s="308"/>
      <c r="K110" s="308"/>
      <c r="L110" s="308"/>
      <c r="M110" s="308"/>
      <c r="N110" s="308"/>
      <c r="O110" s="308"/>
      <c r="P110" s="308"/>
      <c r="Q110" s="308"/>
      <c r="R110" s="308"/>
      <c r="S110" s="308"/>
      <c r="T110" s="308"/>
      <c r="U110" s="244">
        <f t="shared" si="1"/>
        <v>0</v>
      </c>
    </row>
    <row r="111" spans="1:21" hidden="1" x14ac:dyDescent="0.3">
      <c r="A111" s="306">
        <v>128</v>
      </c>
      <c r="B111" s="306" t="s">
        <v>335</v>
      </c>
      <c r="C111" s="307"/>
      <c r="D111" s="308"/>
      <c r="E111" s="308"/>
      <c r="F111" s="308"/>
      <c r="G111" s="308"/>
      <c r="H111" s="308"/>
      <c r="I111" s="308"/>
      <c r="J111" s="308"/>
      <c r="K111" s="308"/>
      <c r="L111" s="308"/>
      <c r="M111" s="308"/>
      <c r="N111" s="308"/>
      <c r="O111" s="308"/>
      <c r="P111" s="308"/>
      <c r="Q111" s="308"/>
      <c r="R111" s="308"/>
      <c r="S111" s="308"/>
      <c r="T111" s="308"/>
      <c r="U111" s="244">
        <f t="shared" si="1"/>
        <v>0</v>
      </c>
    </row>
    <row r="112" spans="1:21" hidden="1" x14ac:dyDescent="0.3">
      <c r="A112" s="306">
        <v>129</v>
      </c>
      <c r="B112" s="306" t="s">
        <v>336</v>
      </c>
      <c r="C112" s="307"/>
      <c r="D112" s="308"/>
      <c r="E112" s="308"/>
      <c r="F112" s="308"/>
      <c r="G112" s="308"/>
      <c r="H112" s="308"/>
      <c r="I112" s="308"/>
      <c r="J112" s="308"/>
      <c r="K112" s="308"/>
      <c r="L112" s="308"/>
      <c r="M112" s="308"/>
      <c r="N112" s="308"/>
      <c r="O112" s="308"/>
      <c r="P112" s="308"/>
      <c r="Q112" s="308"/>
      <c r="R112" s="308"/>
      <c r="S112" s="308"/>
      <c r="T112" s="308"/>
      <c r="U112" s="244">
        <f t="shared" si="1"/>
        <v>0</v>
      </c>
    </row>
    <row r="113" spans="1:21" hidden="1" x14ac:dyDescent="0.3">
      <c r="A113" s="306">
        <v>130</v>
      </c>
      <c r="B113" s="306" t="s">
        <v>337</v>
      </c>
      <c r="C113" s="307"/>
      <c r="D113" s="308"/>
      <c r="E113" s="308"/>
      <c r="F113" s="308"/>
      <c r="G113" s="308"/>
      <c r="H113" s="308"/>
      <c r="I113" s="308"/>
      <c r="J113" s="308"/>
      <c r="K113" s="308"/>
      <c r="L113" s="308"/>
      <c r="M113" s="308"/>
      <c r="N113" s="308"/>
      <c r="O113" s="308"/>
      <c r="P113" s="308"/>
      <c r="Q113" s="308"/>
      <c r="R113" s="308"/>
      <c r="S113" s="308"/>
      <c r="T113" s="308"/>
      <c r="U113" s="244">
        <f t="shared" si="1"/>
        <v>0</v>
      </c>
    </row>
    <row r="114" spans="1:21" hidden="1" x14ac:dyDescent="0.3">
      <c r="A114" s="306">
        <v>131</v>
      </c>
      <c r="B114" s="306" t="s">
        <v>338</v>
      </c>
      <c r="C114" s="307"/>
      <c r="D114" s="308"/>
      <c r="E114" s="308"/>
      <c r="F114" s="308"/>
      <c r="G114" s="308"/>
      <c r="H114" s="308"/>
      <c r="I114" s="308"/>
      <c r="J114" s="308"/>
      <c r="K114" s="308"/>
      <c r="L114" s="308"/>
      <c r="M114" s="308"/>
      <c r="N114" s="308"/>
      <c r="O114" s="308"/>
      <c r="P114" s="308"/>
      <c r="Q114" s="308"/>
      <c r="R114" s="308"/>
      <c r="S114" s="308"/>
      <c r="T114" s="308"/>
      <c r="U114" s="244">
        <f t="shared" si="1"/>
        <v>0</v>
      </c>
    </row>
    <row r="115" spans="1:21" hidden="1" x14ac:dyDescent="0.3">
      <c r="A115" s="306">
        <v>132</v>
      </c>
      <c r="B115" s="306" t="s">
        <v>339</v>
      </c>
      <c r="C115" s="307"/>
      <c r="D115" s="308"/>
      <c r="E115" s="308"/>
      <c r="F115" s="308"/>
      <c r="G115" s="308"/>
      <c r="H115" s="308"/>
      <c r="I115" s="308"/>
      <c r="J115" s="308"/>
      <c r="K115" s="308"/>
      <c r="L115" s="308"/>
      <c r="M115" s="308"/>
      <c r="N115" s="308"/>
      <c r="O115" s="308"/>
      <c r="P115" s="308"/>
      <c r="Q115" s="308"/>
      <c r="R115" s="308"/>
      <c r="S115" s="308"/>
      <c r="T115" s="308"/>
      <c r="U115" s="244">
        <f t="shared" si="1"/>
        <v>0</v>
      </c>
    </row>
    <row r="116" spans="1:21" hidden="1" x14ac:dyDescent="0.3">
      <c r="A116" s="306">
        <v>133</v>
      </c>
      <c r="B116" s="306" t="s">
        <v>340</v>
      </c>
      <c r="C116" s="307"/>
      <c r="D116" s="308"/>
      <c r="E116" s="308"/>
      <c r="F116" s="308"/>
      <c r="G116" s="308"/>
      <c r="H116" s="308"/>
      <c r="I116" s="308"/>
      <c r="J116" s="308"/>
      <c r="K116" s="308"/>
      <c r="L116" s="308"/>
      <c r="M116" s="308"/>
      <c r="N116" s="308"/>
      <c r="O116" s="308"/>
      <c r="P116" s="308"/>
      <c r="Q116" s="308"/>
      <c r="R116" s="308"/>
      <c r="S116" s="308"/>
      <c r="T116" s="308"/>
      <c r="U116" s="244">
        <f t="shared" si="1"/>
        <v>0</v>
      </c>
    </row>
    <row r="117" spans="1:21" hidden="1" x14ac:dyDescent="0.3">
      <c r="A117" s="306">
        <v>134</v>
      </c>
      <c r="B117" s="306" t="s">
        <v>341</v>
      </c>
      <c r="C117" s="307"/>
      <c r="D117" s="308"/>
      <c r="E117" s="308"/>
      <c r="F117" s="308"/>
      <c r="G117" s="308"/>
      <c r="H117" s="308"/>
      <c r="I117" s="308"/>
      <c r="J117" s="308"/>
      <c r="K117" s="308"/>
      <c r="L117" s="308"/>
      <c r="M117" s="308"/>
      <c r="N117" s="308"/>
      <c r="O117" s="308"/>
      <c r="P117" s="308"/>
      <c r="Q117" s="308"/>
      <c r="R117" s="308"/>
      <c r="S117" s="308"/>
      <c r="T117" s="308"/>
      <c r="U117" s="244">
        <f t="shared" si="1"/>
        <v>0</v>
      </c>
    </row>
    <row r="118" spans="1:21" hidden="1" x14ac:dyDescent="0.3">
      <c r="A118" s="306">
        <v>137</v>
      </c>
      <c r="B118" s="306" t="s">
        <v>347</v>
      </c>
      <c r="C118" s="307"/>
      <c r="D118" s="308"/>
      <c r="E118" s="308"/>
      <c r="F118" s="308"/>
      <c r="G118" s="308"/>
      <c r="H118" s="308"/>
      <c r="I118" s="308"/>
      <c r="J118" s="308"/>
      <c r="K118" s="308"/>
      <c r="L118" s="308"/>
      <c r="M118" s="308"/>
      <c r="N118" s="308"/>
      <c r="O118" s="308"/>
      <c r="P118" s="308"/>
      <c r="Q118" s="308"/>
      <c r="R118" s="308"/>
      <c r="S118" s="308"/>
      <c r="T118" s="308"/>
      <c r="U118" s="244">
        <f t="shared" si="1"/>
        <v>0</v>
      </c>
    </row>
    <row r="119" spans="1:21" hidden="1" x14ac:dyDescent="0.3">
      <c r="A119" s="306">
        <v>138</v>
      </c>
      <c r="B119" s="306" t="s">
        <v>349</v>
      </c>
      <c r="C119" s="307"/>
      <c r="D119" s="308"/>
      <c r="E119" s="308"/>
      <c r="F119" s="308"/>
      <c r="G119" s="308"/>
      <c r="H119" s="308"/>
      <c r="I119" s="308"/>
      <c r="J119" s="308"/>
      <c r="K119" s="308"/>
      <c r="L119" s="308"/>
      <c r="M119" s="308"/>
      <c r="N119" s="308"/>
      <c r="O119" s="308"/>
      <c r="P119" s="308"/>
      <c r="Q119" s="308"/>
      <c r="R119" s="308"/>
      <c r="S119" s="308"/>
      <c r="T119" s="308"/>
      <c r="U119" s="244">
        <f t="shared" si="1"/>
        <v>0</v>
      </c>
    </row>
    <row r="120" spans="1:21" hidden="1" x14ac:dyDescent="0.3">
      <c r="A120" s="306">
        <v>139</v>
      </c>
      <c r="B120" s="306" t="s">
        <v>350</v>
      </c>
      <c r="C120" s="307"/>
      <c r="D120" s="308"/>
      <c r="E120" s="308"/>
      <c r="F120" s="308"/>
      <c r="G120" s="308"/>
      <c r="H120" s="308"/>
      <c r="I120" s="308"/>
      <c r="J120" s="308"/>
      <c r="K120" s="308"/>
      <c r="L120" s="308"/>
      <c r="M120" s="308"/>
      <c r="N120" s="308"/>
      <c r="O120" s="308"/>
      <c r="P120" s="308"/>
      <c r="Q120" s="308"/>
      <c r="R120" s="308"/>
      <c r="S120" s="308"/>
      <c r="T120" s="308"/>
      <c r="U120" s="244">
        <f t="shared" si="1"/>
        <v>0</v>
      </c>
    </row>
    <row r="121" spans="1:21" hidden="1" x14ac:dyDescent="0.3">
      <c r="A121" s="306">
        <v>141</v>
      </c>
      <c r="B121" s="306" t="s">
        <v>354</v>
      </c>
      <c r="C121" s="307">
        <v>54803.87</v>
      </c>
      <c r="D121" s="308">
        <v>1153710</v>
      </c>
      <c r="E121" s="308">
        <v>0</v>
      </c>
      <c r="F121" s="308">
        <v>0</v>
      </c>
      <c r="G121" s="308">
        <v>0</v>
      </c>
      <c r="H121" s="308">
        <v>0.39</v>
      </c>
      <c r="I121" s="308"/>
      <c r="J121" s="308"/>
      <c r="K121" s="308"/>
      <c r="L121" s="308"/>
      <c r="M121" s="308"/>
      <c r="N121" s="308"/>
      <c r="O121" s="308"/>
      <c r="P121" s="308"/>
      <c r="Q121" s="308"/>
      <c r="R121" s="308"/>
      <c r="S121" s="308"/>
      <c r="T121" s="308"/>
      <c r="U121" s="244">
        <f t="shared" si="1"/>
        <v>1208514.26</v>
      </c>
    </row>
    <row r="122" spans="1:21" hidden="1" x14ac:dyDescent="0.3">
      <c r="A122" s="306">
        <v>142</v>
      </c>
      <c r="B122" s="306" t="s">
        <v>356</v>
      </c>
      <c r="C122" s="307"/>
      <c r="D122" s="308"/>
      <c r="E122" s="308"/>
      <c r="F122" s="308"/>
      <c r="G122" s="308"/>
      <c r="H122" s="308"/>
      <c r="I122" s="308"/>
      <c r="J122" s="308"/>
      <c r="K122" s="308"/>
      <c r="L122" s="308"/>
      <c r="M122" s="308"/>
      <c r="N122" s="308"/>
      <c r="O122" s="308"/>
      <c r="P122" s="308"/>
      <c r="Q122" s="308"/>
      <c r="R122" s="308"/>
      <c r="S122" s="308"/>
      <c r="T122" s="308"/>
      <c r="U122" s="244">
        <f t="shared" si="1"/>
        <v>0</v>
      </c>
    </row>
    <row r="123" spans="1:21" hidden="1" x14ac:dyDescent="0.3">
      <c r="A123" s="306">
        <v>144</v>
      </c>
      <c r="B123" s="306" t="s">
        <v>360</v>
      </c>
      <c r="C123" s="307"/>
      <c r="D123" s="308"/>
      <c r="E123" s="308"/>
      <c r="F123" s="308"/>
      <c r="G123" s="308"/>
      <c r="H123" s="308"/>
      <c r="I123" s="308"/>
      <c r="J123" s="308"/>
      <c r="K123" s="308"/>
      <c r="L123" s="308"/>
      <c r="M123" s="308"/>
      <c r="N123" s="308"/>
      <c r="O123" s="308"/>
      <c r="P123" s="308"/>
      <c r="Q123" s="308"/>
      <c r="R123" s="308"/>
      <c r="S123" s="308"/>
      <c r="T123" s="308"/>
      <c r="U123" s="244">
        <f t="shared" si="1"/>
        <v>0</v>
      </c>
    </row>
    <row r="124" spans="1:21" hidden="1" x14ac:dyDescent="0.3">
      <c r="A124" s="306">
        <v>145</v>
      </c>
      <c r="B124" s="306" t="s">
        <v>362</v>
      </c>
      <c r="C124" s="307"/>
      <c r="D124" s="308"/>
      <c r="E124" s="308"/>
      <c r="F124" s="308"/>
      <c r="G124" s="308"/>
      <c r="H124" s="308"/>
      <c r="I124" s="308"/>
      <c r="J124" s="308"/>
      <c r="K124" s="308"/>
      <c r="L124" s="308"/>
      <c r="M124" s="308"/>
      <c r="N124" s="308"/>
      <c r="O124" s="308"/>
      <c r="P124" s="308"/>
      <c r="Q124" s="308"/>
      <c r="R124" s="308"/>
      <c r="S124" s="308"/>
      <c r="T124" s="308"/>
      <c r="U124" s="244">
        <f t="shared" si="1"/>
        <v>0</v>
      </c>
    </row>
    <row r="125" spans="1:21" hidden="1" x14ac:dyDescent="0.3">
      <c r="A125" s="306">
        <v>146</v>
      </c>
      <c r="B125" s="306" t="s">
        <v>364</v>
      </c>
      <c r="C125" s="307"/>
      <c r="D125" s="308"/>
      <c r="E125" s="308"/>
      <c r="F125" s="308"/>
      <c r="G125" s="308"/>
      <c r="H125" s="308"/>
      <c r="I125" s="308"/>
      <c r="J125" s="308"/>
      <c r="K125" s="308"/>
      <c r="L125" s="308"/>
      <c r="M125" s="308"/>
      <c r="N125" s="308"/>
      <c r="O125" s="308"/>
      <c r="P125" s="308"/>
      <c r="Q125" s="308"/>
      <c r="R125" s="308"/>
      <c r="S125" s="308"/>
      <c r="T125" s="308"/>
      <c r="U125" s="244">
        <f t="shared" si="1"/>
        <v>0</v>
      </c>
    </row>
    <row r="126" spans="1:21" hidden="1" x14ac:dyDescent="0.3">
      <c r="A126" s="306">
        <v>147</v>
      </c>
      <c r="B126" s="306" t="s">
        <v>365</v>
      </c>
      <c r="C126" s="307"/>
      <c r="D126" s="308"/>
      <c r="E126" s="308"/>
      <c r="F126" s="308"/>
      <c r="G126" s="308"/>
      <c r="H126" s="308"/>
      <c r="I126" s="308"/>
      <c r="J126" s="308"/>
      <c r="K126" s="308"/>
      <c r="L126" s="308"/>
      <c r="M126" s="308"/>
      <c r="N126" s="308"/>
      <c r="O126" s="308"/>
      <c r="P126" s="308"/>
      <c r="Q126" s="308"/>
      <c r="R126" s="308"/>
      <c r="S126" s="308"/>
      <c r="T126" s="308"/>
      <c r="U126" s="244">
        <f t="shared" si="1"/>
        <v>0</v>
      </c>
    </row>
    <row r="127" spans="1:21" hidden="1" x14ac:dyDescent="0.3">
      <c r="A127" s="306">
        <v>148</v>
      </c>
      <c r="B127" s="306" t="s">
        <v>366</v>
      </c>
      <c r="C127" s="307"/>
      <c r="D127" s="308"/>
      <c r="E127" s="308"/>
      <c r="F127" s="308">
        <v>0.45</v>
      </c>
      <c r="G127" s="308"/>
      <c r="H127" s="308"/>
      <c r="I127" s="308"/>
      <c r="J127" s="308"/>
      <c r="K127" s="308"/>
      <c r="L127" s="308"/>
      <c r="M127" s="308"/>
      <c r="N127" s="308"/>
      <c r="O127" s="308"/>
      <c r="P127" s="308"/>
      <c r="Q127" s="308"/>
      <c r="R127" s="308"/>
      <c r="S127" s="308"/>
      <c r="T127" s="308"/>
      <c r="U127" s="244">
        <f t="shared" si="1"/>
        <v>0.45</v>
      </c>
    </row>
    <row r="128" spans="1:21" hidden="1" x14ac:dyDescent="0.3">
      <c r="A128" s="306">
        <v>149</v>
      </c>
      <c r="B128" s="306" t="s">
        <v>368</v>
      </c>
      <c r="C128" s="307"/>
      <c r="D128" s="308"/>
      <c r="E128" s="308"/>
      <c r="F128" s="308"/>
      <c r="G128" s="308"/>
      <c r="H128" s="308"/>
      <c r="I128" s="308"/>
      <c r="J128" s="308"/>
      <c r="K128" s="308"/>
      <c r="L128" s="308"/>
      <c r="M128" s="308"/>
      <c r="N128" s="308"/>
      <c r="O128" s="308"/>
      <c r="P128" s="308"/>
      <c r="Q128" s="308"/>
      <c r="R128" s="308"/>
      <c r="S128" s="308"/>
      <c r="T128" s="308"/>
      <c r="U128" s="244">
        <f t="shared" si="1"/>
        <v>0</v>
      </c>
    </row>
    <row r="129" spans="1:21" hidden="1" x14ac:dyDescent="0.3">
      <c r="A129" s="306">
        <v>233</v>
      </c>
      <c r="B129" s="306" t="s">
        <v>510</v>
      </c>
      <c r="C129" s="307"/>
      <c r="D129" s="308"/>
      <c r="E129" s="308"/>
      <c r="F129" s="308"/>
      <c r="G129" s="308"/>
      <c r="H129" s="308"/>
      <c r="I129" s="308"/>
      <c r="J129" s="308"/>
      <c r="K129" s="308"/>
      <c r="L129" s="308"/>
      <c r="M129" s="308"/>
      <c r="N129" s="308"/>
      <c r="O129" s="308"/>
      <c r="P129" s="308"/>
      <c r="Q129" s="308"/>
      <c r="R129" s="308"/>
      <c r="S129" s="308"/>
      <c r="T129" s="308"/>
      <c r="U129" s="244">
        <f t="shared" si="1"/>
        <v>0</v>
      </c>
    </row>
    <row r="130" spans="1:21" hidden="1" x14ac:dyDescent="0.3">
      <c r="A130" s="306">
        <v>234</v>
      </c>
      <c r="B130" s="306" t="s">
        <v>512</v>
      </c>
      <c r="C130" s="307"/>
      <c r="D130" s="308"/>
      <c r="E130" s="308"/>
      <c r="F130" s="308"/>
      <c r="G130" s="308"/>
      <c r="H130" s="308"/>
      <c r="I130" s="308"/>
      <c r="J130" s="308"/>
      <c r="K130" s="308"/>
      <c r="L130" s="308"/>
      <c r="M130" s="308"/>
      <c r="N130" s="308"/>
      <c r="O130" s="308"/>
      <c r="P130" s="308"/>
      <c r="Q130" s="308"/>
      <c r="R130" s="308"/>
      <c r="S130" s="308"/>
      <c r="T130" s="308"/>
      <c r="U130" s="244">
        <f t="shared" si="1"/>
        <v>0</v>
      </c>
    </row>
    <row r="131" spans="1:21" hidden="1" x14ac:dyDescent="0.3">
      <c r="A131" s="306">
        <v>235</v>
      </c>
      <c r="B131" s="306" t="s">
        <v>513</v>
      </c>
      <c r="C131" s="307"/>
      <c r="D131" s="308"/>
      <c r="E131" s="308"/>
      <c r="F131" s="308"/>
      <c r="G131" s="308"/>
      <c r="H131" s="308"/>
      <c r="I131" s="308"/>
      <c r="J131" s="308"/>
      <c r="K131" s="308"/>
      <c r="L131" s="308"/>
      <c r="M131" s="308"/>
      <c r="N131" s="308"/>
      <c r="O131" s="308"/>
      <c r="P131" s="308"/>
      <c r="Q131" s="308"/>
      <c r="R131" s="308"/>
      <c r="S131" s="308"/>
      <c r="T131" s="308"/>
      <c r="U131" s="244">
        <f t="shared" si="1"/>
        <v>0</v>
      </c>
    </row>
    <row r="132" spans="1:21" hidden="1" x14ac:dyDescent="0.3">
      <c r="A132" s="306">
        <v>236</v>
      </c>
      <c r="B132" s="306" t="s">
        <v>514</v>
      </c>
      <c r="C132" s="307"/>
      <c r="D132" s="308"/>
      <c r="E132" s="308"/>
      <c r="F132" s="308"/>
      <c r="G132" s="308"/>
      <c r="H132" s="308"/>
      <c r="I132" s="308"/>
      <c r="J132" s="308"/>
      <c r="K132" s="308"/>
      <c r="L132" s="308"/>
      <c r="M132" s="308"/>
      <c r="N132" s="308"/>
      <c r="O132" s="308"/>
      <c r="P132" s="308"/>
      <c r="Q132" s="308"/>
      <c r="R132" s="308"/>
      <c r="S132" s="308"/>
      <c r="T132" s="308"/>
      <c r="U132" s="244">
        <f t="shared" si="1"/>
        <v>0</v>
      </c>
    </row>
    <row r="133" spans="1:21" hidden="1" x14ac:dyDescent="0.3">
      <c r="A133" s="306">
        <v>237</v>
      </c>
      <c r="B133" s="306" t="s">
        <v>516</v>
      </c>
      <c r="C133" s="307"/>
      <c r="D133" s="308"/>
      <c r="E133" s="308"/>
      <c r="F133" s="308"/>
      <c r="G133" s="308"/>
      <c r="H133" s="308"/>
      <c r="I133" s="308"/>
      <c r="J133" s="308"/>
      <c r="K133" s="308"/>
      <c r="L133" s="308"/>
      <c r="M133" s="308"/>
      <c r="N133" s="308"/>
      <c r="O133" s="308"/>
      <c r="P133" s="308"/>
      <c r="Q133" s="308"/>
      <c r="R133" s="308"/>
      <c r="S133" s="308"/>
      <c r="T133" s="308"/>
      <c r="U133" s="244">
        <f t="shared" si="1"/>
        <v>0</v>
      </c>
    </row>
    <row r="134" spans="1:21" hidden="1" x14ac:dyDescent="0.3">
      <c r="A134" s="306">
        <v>238</v>
      </c>
      <c r="B134" s="306" t="s">
        <v>518</v>
      </c>
      <c r="C134" s="307"/>
      <c r="D134" s="308"/>
      <c r="E134" s="308"/>
      <c r="F134" s="308"/>
      <c r="G134" s="308"/>
      <c r="H134" s="308"/>
      <c r="I134" s="308"/>
      <c r="J134" s="308"/>
      <c r="K134" s="308"/>
      <c r="L134" s="308"/>
      <c r="M134" s="308"/>
      <c r="N134" s="308"/>
      <c r="O134" s="308"/>
      <c r="P134" s="308"/>
      <c r="Q134" s="308"/>
      <c r="R134" s="308"/>
      <c r="S134" s="308"/>
      <c r="T134" s="308"/>
      <c r="U134" s="244">
        <f t="shared" si="1"/>
        <v>0</v>
      </c>
    </row>
    <row r="135" spans="1:21" hidden="1" x14ac:dyDescent="0.3">
      <c r="A135" s="306">
        <v>239</v>
      </c>
      <c r="B135" s="306" t="s">
        <v>520</v>
      </c>
      <c r="C135" s="307"/>
      <c r="D135" s="308"/>
      <c r="E135" s="308"/>
      <c r="F135" s="308"/>
      <c r="G135" s="308"/>
      <c r="H135" s="308"/>
      <c r="I135" s="308"/>
      <c r="J135" s="308"/>
      <c r="K135" s="308"/>
      <c r="L135" s="308"/>
      <c r="M135" s="308"/>
      <c r="N135" s="308"/>
      <c r="O135" s="308"/>
      <c r="P135" s="308"/>
      <c r="Q135" s="308"/>
      <c r="R135" s="308"/>
      <c r="S135" s="308"/>
      <c r="T135" s="308"/>
      <c r="U135" s="244">
        <f t="shared" si="1"/>
        <v>0</v>
      </c>
    </row>
    <row r="136" spans="1:21" hidden="1" x14ac:dyDescent="0.3">
      <c r="A136" s="306">
        <v>240</v>
      </c>
      <c r="B136" s="306" t="s">
        <v>522</v>
      </c>
      <c r="C136" s="307"/>
      <c r="D136" s="308"/>
      <c r="E136" s="308"/>
      <c r="F136" s="308"/>
      <c r="G136" s="308"/>
      <c r="H136" s="308">
        <v>21919837.007874016</v>
      </c>
      <c r="I136" s="308"/>
      <c r="J136" s="308"/>
      <c r="K136" s="308"/>
      <c r="L136" s="308"/>
      <c r="M136" s="308"/>
      <c r="N136" s="308"/>
      <c r="O136" s="308"/>
      <c r="P136" s="308"/>
      <c r="Q136" s="308"/>
      <c r="R136" s="308"/>
      <c r="S136" s="308"/>
      <c r="T136" s="308"/>
      <c r="U136" s="244">
        <f t="shared" ref="U136:U199" si="2">SUM(C136:T136)</f>
        <v>21919837.007874016</v>
      </c>
    </row>
    <row r="137" spans="1:21" hidden="1" x14ac:dyDescent="0.3">
      <c r="A137" s="306">
        <v>241</v>
      </c>
      <c r="B137" s="306" t="s">
        <v>523</v>
      </c>
      <c r="C137" s="307"/>
      <c r="D137" s="308"/>
      <c r="E137" s="308"/>
      <c r="F137" s="308"/>
      <c r="G137" s="308"/>
      <c r="H137" s="308"/>
      <c r="I137" s="308"/>
      <c r="J137" s="308"/>
      <c r="K137" s="308"/>
      <c r="L137" s="308"/>
      <c r="M137" s="308"/>
      <c r="N137" s="308"/>
      <c r="O137" s="308"/>
      <c r="P137" s="308"/>
      <c r="Q137" s="308"/>
      <c r="R137" s="308"/>
      <c r="S137" s="308"/>
      <c r="T137" s="308"/>
      <c r="U137" s="244">
        <f t="shared" si="2"/>
        <v>0</v>
      </c>
    </row>
    <row r="138" spans="1:21" hidden="1" x14ac:dyDescent="0.3">
      <c r="A138" s="306">
        <v>242</v>
      </c>
      <c r="B138" s="306" t="s">
        <v>524</v>
      </c>
      <c r="C138" s="307"/>
      <c r="D138" s="308"/>
      <c r="E138" s="308"/>
      <c r="F138" s="308"/>
      <c r="G138" s="308"/>
      <c r="H138" s="308"/>
      <c r="I138" s="308"/>
      <c r="J138" s="308"/>
      <c r="K138" s="308"/>
      <c r="L138" s="308"/>
      <c r="M138" s="308"/>
      <c r="N138" s="308"/>
      <c r="O138" s="308"/>
      <c r="P138" s="308"/>
      <c r="Q138" s="308"/>
      <c r="R138" s="308"/>
      <c r="S138" s="308"/>
      <c r="T138" s="308"/>
      <c r="U138" s="244">
        <f t="shared" si="2"/>
        <v>0</v>
      </c>
    </row>
    <row r="139" spans="1:21" hidden="1" x14ac:dyDescent="0.3">
      <c r="A139" s="306">
        <v>243</v>
      </c>
      <c r="B139" s="306" t="s">
        <v>525</v>
      </c>
      <c r="C139" s="307"/>
      <c r="D139" s="308"/>
      <c r="E139" s="308"/>
      <c r="F139" s="308"/>
      <c r="G139" s="308"/>
      <c r="H139" s="308"/>
      <c r="I139" s="308"/>
      <c r="J139" s="308"/>
      <c r="K139" s="308"/>
      <c r="L139" s="308"/>
      <c r="M139" s="308"/>
      <c r="N139" s="308"/>
      <c r="O139" s="308"/>
      <c r="P139" s="308"/>
      <c r="Q139" s="308"/>
      <c r="R139" s="308"/>
      <c r="S139" s="308"/>
      <c r="T139" s="308"/>
      <c r="U139" s="244">
        <f t="shared" si="2"/>
        <v>0</v>
      </c>
    </row>
    <row r="140" spans="1:21" hidden="1" x14ac:dyDescent="0.3">
      <c r="A140" s="306">
        <v>244</v>
      </c>
      <c r="B140" s="306" t="s">
        <v>527</v>
      </c>
      <c r="C140" s="307"/>
      <c r="D140" s="308"/>
      <c r="E140" s="308"/>
      <c r="F140" s="308"/>
      <c r="G140" s="308"/>
      <c r="H140" s="308"/>
      <c r="I140" s="308"/>
      <c r="J140" s="308"/>
      <c r="K140" s="308"/>
      <c r="L140" s="308"/>
      <c r="M140" s="308"/>
      <c r="N140" s="308"/>
      <c r="O140" s="308"/>
      <c r="P140" s="308"/>
      <c r="Q140" s="308"/>
      <c r="R140" s="308"/>
      <c r="S140" s="308"/>
      <c r="T140" s="308"/>
      <c r="U140" s="244">
        <f t="shared" si="2"/>
        <v>0</v>
      </c>
    </row>
    <row r="141" spans="1:21" hidden="1" x14ac:dyDescent="0.3">
      <c r="A141" s="306">
        <v>245</v>
      </c>
      <c r="B141" s="306" t="s">
        <v>528</v>
      </c>
      <c r="C141" s="307"/>
      <c r="D141" s="308"/>
      <c r="E141" s="308"/>
      <c r="F141" s="308"/>
      <c r="G141" s="308"/>
      <c r="H141" s="308"/>
      <c r="I141" s="308"/>
      <c r="J141" s="308"/>
      <c r="K141" s="308"/>
      <c r="L141" s="308"/>
      <c r="M141" s="308"/>
      <c r="N141" s="308"/>
      <c r="O141" s="308"/>
      <c r="P141" s="308"/>
      <c r="Q141" s="308"/>
      <c r="R141" s="308"/>
      <c r="S141" s="308"/>
      <c r="T141" s="308"/>
      <c r="U141" s="244">
        <f t="shared" si="2"/>
        <v>0</v>
      </c>
    </row>
    <row r="142" spans="1:21" hidden="1" x14ac:dyDescent="0.3">
      <c r="A142" s="306">
        <v>246</v>
      </c>
      <c r="B142" s="306" t="s">
        <v>529</v>
      </c>
      <c r="C142" s="307"/>
      <c r="D142" s="308"/>
      <c r="E142" s="308"/>
      <c r="F142" s="308"/>
      <c r="G142" s="308"/>
      <c r="H142" s="308"/>
      <c r="I142" s="308"/>
      <c r="J142" s="308"/>
      <c r="K142" s="308"/>
      <c r="L142" s="308"/>
      <c r="M142" s="308"/>
      <c r="N142" s="308"/>
      <c r="O142" s="308"/>
      <c r="P142" s="308"/>
      <c r="Q142" s="308"/>
      <c r="R142" s="308"/>
      <c r="S142" s="308"/>
      <c r="T142" s="308"/>
      <c r="U142" s="244">
        <f t="shared" si="2"/>
        <v>0</v>
      </c>
    </row>
    <row r="143" spans="1:21" hidden="1" x14ac:dyDescent="0.3">
      <c r="A143" s="306">
        <v>247</v>
      </c>
      <c r="B143" s="306" t="s">
        <v>530</v>
      </c>
      <c r="C143" s="307"/>
      <c r="D143" s="308"/>
      <c r="E143" s="308"/>
      <c r="F143" s="308"/>
      <c r="G143" s="308"/>
      <c r="H143" s="308"/>
      <c r="I143" s="308"/>
      <c r="J143" s="308"/>
      <c r="K143" s="308"/>
      <c r="L143" s="308"/>
      <c r="M143" s="308"/>
      <c r="N143" s="308"/>
      <c r="O143" s="308"/>
      <c r="P143" s="308"/>
      <c r="Q143" s="308"/>
      <c r="R143" s="308"/>
      <c r="S143" s="308"/>
      <c r="T143" s="308"/>
      <c r="U143" s="244">
        <f t="shared" si="2"/>
        <v>0</v>
      </c>
    </row>
    <row r="144" spans="1:21" hidden="1" x14ac:dyDescent="0.3">
      <c r="A144" s="306">
        <v>248</v>
      </c>
      <c r="B144" s="306" t="s">
        <v>531</v>
      </c>
      <c r="C144" s="307"/>
      <c r="D144" s="308"/>
      <c r="E144" s="308"/>
      <c r="F144" s="308"/>
      <c r="G144" s="308"/>
      <c r="H144" s="308"/>
      <c r="I144" s="308"/>
      <c r="J144" s="308"/>
      <c r="K144" s="308"/>
      <c r="L144" s="308"/>
      <c r="M144" s="308"/>
      <c r="N144" s="308"/>
      <c r="O144" s="308"/>
      <c r="P144" s="308"/>
      <c r="Q144" s="308"/>
      <c r="R144" s="308"/>
      <c r="S144" s="308"/>
      <c r="T144" s="308"/>
      <c r="U144" s="244">
        <f t="shared" si="2"/>
        <v>0</v>
      </c>
    </row>
    <row r="145" spans="1:21" hidden="1" x14ac:dyDescent="0.3">
      <c r="A145" s="306">
        <v>249</v>
      </c>
      <c r="B145" s="306" t="s">
        <v>533</v>
      </c>
      <c r="C145" s="307"/>
      <c r="D145" s="308"/>
      <c r="E145" s="308"/>
      <c r="F145" s="308"/>
      <c r="G145" s="308"/>
      <c r="H145" s="308"/>
      <c r="I145" s="308"/>
      <c r="J145" s="308"/>
      <c r="K145" s="308"/>
      <c r="L145" s="308"/>
      <c r="M145" s="308"/>
      <c r="N145" s="308"/>
      <c r="O145" s="308"/>
      <c r="P145" s="308"/>
      <c r="Q145" s="308"/>
      <c r="R145" s="308"/>
      <c r="S145" s="308"/>
      <c r="T145" s="308"/>
      <c r="U145" s="244">
        <f t="shared" si="2"/>
        <v>0</v>
      </c>
    </row>
    <row r="146" spans="1:21" hidden="1" x14ac:dyDescent="0.3">
      <c r="A146" s="306">
        <v>250</v>
      </c>
      <c r="B146" s="306" t="s">
        <v>535</v>
      </c>
      <c r="C146" s="307"/>
      <c r="D146" s="308"/>
      <c r="E146" s="308"/>
      <c r="F146" s="308"/>
      <c r="G146" s="309"/>
      <c r="H146" s="308">
        <v>300000</v>
      </c>
      <c r="I146" s="308"/>
      <c r="J146" s="308"/>
      <c r="K146" s="308"/>
      <c r="L146" s="308"/>
      <c r="M146" s="308"/>
      <c r="N146" s="308"/>
      <c r="O146" s="308"/>
      <c r="P146" s="308"/>
      <c r="Q146" s="308"/>
      <c r="R146" s="308"/>
      <c r="S146" s="308"/>
      <c r="T146" s="308"/>
      <c r="U146" s="244">
        <f t="shared" si="2"/>
        <v>300000</v>
      </c>
    </row>
    <row r="147" spans="1:21" hidden="1" x14ac:dyDescent="0.3">
      <c r="A147" s="306">
        <v>251</v>
      </c>
      <c r="B147" s="306" t="s">
        <v>537</v>
      </c>
      <c r="C147" s="307"/>
      <c r="D147" s="308"/>
      <c r="E147" s="308"/>
      <c r="F147" s="308"/>
      <c r="G147" s="308"/>
      <c r="H147" s="308"/>
      <c r="I147" s="308"/>
      <c r="J147" s="308"/>
      <c r="K147" s="308"/>
      <c r="L147" s="308"/>
      <c r="M147" s="308"/>
      <c r="N147" s="308"/>
      <c r="O147" s="308"/>
      <c r="P147" s="308"/>
      <c r="Q147" s="308"/>
      <c r="R147" s="308"/>
      <c r="S147" s="308"/>
      <c r="T147" s="308"/>
      <c r="U147" s="244">
        <f t="shared" si="2"/>
        <v>0</v>
      </c>
    </row>
    <row r="148" spans="1:21" hidden="1" x14ac:dyDescent="0.3">
      <c r="A148" s="306">
        <v>252</v>
      </c>
      <c r="B148" s="306" t="s">
        <v>539</v>
      </c>
      <c r="C148" s="307"/>
      <c r="D148" s="308"/>
      <c r="E148" s="308"/>
      <c r="F148" s="308"/>
      <c r="G148" s="308"/>
      <c r="H148" s="308"/>
      <c r="I148" s="308"/>
      <c r="J148" s="308"/>
      <c r="K148" s="308"/>
      <c r="L148" s="308"/>
      <c r="M148" s="308"/>
      <c r="N148" s="308"/>
      <c r="O148" s="308"/>
      <c r="P148" s="308"/>
      <c r="Q148" s="308"/>
      <c r="R148" s="308"/>
      <c r="S148" s="308"/>
      <c r="T148" s="308"/>
      <c r="U148" s="244">
        <f t="shared" si="2"/>
        <v>0</v>
      </c>
    </row>
    <row r="149" spans="1:21" hidden="1" x14ac:dyDescent="0.3">
      <c r="A149" s="306">
        <v>253</v>
      </c>
      <c r="B149" s="306" t="s">
        <v>541</v>
      </c>
      <c r="C149" s="307"/>
      <c r="D149" s="308"/>
      <c r="E149" s="308"/>
      <c r="F149" s="308"/>
      <c r="G149" s="308"/>
      <c r="H149" s="308"/>
      <c r="I149" s="308"/>
      <c r="J149" s="308"/>
      <c r="K149" s="308"/>
      <c r="L149" s="308"/>
      <c r="M149" s="308"/>
      <c r="N149" s="308"/>
      <c r="O149" s="308"/>
      <c r="P149" s="308"/>
      <c r="Q149" s="308"/>
      <c r="R149" s="308"/>
      <c r="S149" s="308"/>
      <c r="T149" s="308"/>
      <c r="U149" s="244">
        <f t="shared" si="2"/>
        <v>0</v>
      </c>
    </row>
    <row r="150" spans="1:21" hidden="1" x14ac:dyDescent="0.3">
      <c r="A150" s="306">
        <v>254</v>
      </c>
      <c r="B150" s="306" t="s">
        <v>542</v>
      </c>
      <c r="C150" s="307"/>
      <c r="D150" s="308"/>
      <c r="E150" s="308"/>
      <c r="F150" s="308"/>
      <c r="G150" s="308"/>
      <c r="H150" s="308"/>
      <c r="I150" s="308"/>
      <c r="J150" s="308"/>
      <c r="K150" s="308"/>
      <c r="L150" s="308"/>
      <c r="M150" s="308"/>
      <c r="N150" s="308"/>
      <c r="O150" s="308"/>
      <c r="P150" s="308"/>
      <c r="Q150" s="308"/>
      <c r="R150" s="308"/>
      <c r="S150" s="308"/>
      <c r="T150" s="308"/>
      <c r="U150" s="244">
        <f t="shared" si="2"/>
        <v>0</v>
      </c>
    </row>
    <row r="151" spans="1:21" hidden="1" x14ac:dyDescent="0.3">
      <c r="A151" s="306">
        <v>255</v>
      </c>
      <c r="B151" s="306" t="s">
        <v>543</v>
      </c>
      <c r="C151" s="307"/>
      <c r="D151" s="308"/>
      <c r="E151" s="308"/>
      <c r="F151" s="308"/>
      <c r="G151" s="309">
        <v>9100000.000171056</v>
      </c>
      <c r="H151" s="308"/>
      <c r="I151" s="308"/>
      <c r="J151" s="308"/>
      <c r="K151" s="308"/>
      <c r="L151" s="308"/>
      <c r="M151" s="308"/>
      <c r="N151" s="308"/>
      <c r="O151" s="308"/>
      <c r="P151" s="308"/>
      <c r="Q151" s="308"/>
      <c r="R151" s="308"/>
      <c r="S151" s="308"/>
      <c r="T151" s="308"/>
      <c r="U151" s="244">
        <f t="shared" si="2"/>
        <v>9100000.000171056</v>
      </c>
    </row>
    <row r="152" spans="1:21" hidden="1" x14ac:dyDescent="0.3">
      <c r="A152" s="306">
        <v>256</v>
      </c>
      <c r="B152" s="306" t="s">
        <v>545</v>
      </c>
      <c r="C152" s="307"/>
      <c r="D152" s="308"/>
      <c r="E152" s="308"/>
      <c r="F152" s="308"/>
      <c r="G152" s="308"/>
      <c r="H152" s="308"/>
      <c r="I152" s="308"/>
      <c r="J152" s="308"/>
      <c r="K152" s="308"/>
      <c r="L152" s="308"/>
      <c r="M152" s="308"/>
      <c r="N152" s="308"/>
      <c r="O152" s="308"/>
      <c r="P152" s="308"/>
      <c r="Q152" s="308"/>
      <c r="R152" s="308"/>
      <c r="S152" s="308"/>
      <c r="T152" s="308"/>
      <c r="U152" s="244">
        <f t="shared" si="2"/>
        <v>0</v>
      </c>
    </row>
    <row r="153" spans="1:21" hidden="1" x14ac:dyDescent="0.3">
      <c r="A153" s="306">
        <v>257</v>
      </c>
      <c r="B153" s="306" t="s">
        <v>547</v>
      </c>
      <c r="C153" s="307"/>
      <c r="D153" s="308"/>
      <c r="E153" s="308"/>
      <c r="F153" s="308"/>
      <c r="G153" s="308"/>
      <c r="H153" s="308"/>
      <c r="I153" s="308"/>
      <c r="J153" s="308"/>
      <c r="K153" s="308"/>
      <c r="L153" s="308"/>
      <c r="M153" s="308"/>
      <c r="N153" s="308"/>
      <c r="O153" s="308"/>
      <c r="P153" s="308"/>
      <c r="Q153" s="308"/>
      <c r="R153" s="308"/>
      <c r="S153" s="308"/>
      <c r="T153" s="308"/>
      <c r="U153" s="244">
        <f t="shared" si="2"/>
        <v>0</v>
      </c>
    </row>
    <row r="154" spans="1:21" hidden="1" x14ac:dyDescent="0.3">
      <c r="A154" s="306">
        <v>258</v>
      </c>
      <c r="B154" s="306" t="s">
        <v>548</v>
      </c>
      <c r="C154" s="307"/>
      <c r="D154" s="308"/>
      <c r="E154" s="308"/>
      <c r="F154" s="308"/>
      <c r="G154" s="308"/>
      <c r="H154" s="308"/>
      <c r="I154" s="308"/>
      <c r="J154" s="308"/>
      <c r="K154" s="308"/>
      <c r="L154" s="308"/>
      <c r="M154" s="308"/>
      <c r="N154" s="308"/>
      <c r="O154" s="308"/>
      <c r="P154" s="308"/>
      <c r="Q154" s="308"/>
      <c r="R154" s="308"/>
      <c r="S154" s="308"/>
      <c r="T154" s="308"/>
      <c r="U154" s="244">
        <f t="shared" si="2"/>
        <v>0</v>
      </c>
    </row>
    <row r="155" spans="1:21" hidden="1" x14ac:dyDescent="0.3">
      <c r="A155" s="306">
        <v>259</v>
      </c>
      <c r="B155" s="306" t="s">
        <v>549</v>
      </c>
      <c r="C155" s="307"/>
      <c r="D155" s="308"/>
      <c r="E155" s="308"/>
      <c r="F155" s="308"/>
      <c r="G155" s="308"/>
      <c r="H155" s="308"/>
      <c r="I155" s="308"/>
      <c r="J155" s="308"/>
      <c r="K155" s="308"/>
      <c r="L155" s="308"/>
      <c r="M155" s="308"/>
      <c r="N155" s="308"/>
      <c r="O155" s="308"/>
      <c r="P155" s="308"/>
      <c r="Q155" s="308"/>
      <c r="R155" s="308"/>
      <c r="S155" s="308"/>
      <c r="T155" s="308"/>
      <c r="U155" s="244">
        <f t="shared" si="2"/>
        <v>0</v>
      </c>
    </row>
    <row r="156" spans="1:21" hidden="1" x14ac:dyDescent="0.3">
      <c r="A156" s="306">
        <v>260</v>
      </c>
      <c r="B156" s="306" t="s">
        <v>550</v>
      </c>
      <c r="C156" s="307"/>
      <c r="D156" s="308"/>
      <c r="E156" s="308"/>
      <c r="F156" s="308"/>
      <c r="G156" s="308"/>
      <c r="H156" s="308"/>
      <c r="I156" s="308"/>
      <c r="J156" s="308"/>
      <c r="K156" s="308"/>
      <c r="L156" s="308"/>
      <c r="M156" s="308"/>
      <c r="N156" s="308"/>
      <c r="O156" s="308"/>
      <c r="P156" s="308"/>
      <c r="Q156" s="308"/>
      <c r="R156" s="308"/>
      <c r="S156" s="308"/>
      <c r="T156" s="308"/>
      <c r="U156" s="244">
        <f t="shared" si="2"/>
        <v>0</v>
      </c>
    </row>
    <row r="157" spans="1:21" hidden="1" x14ac:dyDescent="0.3">
      <c r="A157" s="306">
        <v>261</v>
      </c>
      <c r="B157" s="306" t="s">
        <v>551</v>
      </c>
      <c r="C157" s="307"/>
      <c r="D157" s="308"/>
      <c r="E157" s="308"/>
      <c r="F157" s="308"/>
      <c r="G157" s="308"/>
      <c r="H157" s="308"/>
      <c r="I157" s="308"/>
      <c r="J157" s="308"/>
      <c r="K157" s="308"/>
      <c r="L157" s="308"/>
      <c r="M157" s="308"/>
      <c r="N157" s="308"/>
      <c r="O157" s="308"/>
      <c r="P157" s="308"/>
      <c r="Q157" s="308"/>
      <c r="R157" s="308"/>
      <c r="S157" s="308"/>
      <c r="T157" s="308"/>
      <c r="U157" s="244">
        <f t="shared" si="2"/>
        <v>0</v>
      </c>
    </row>
    <row r="158" spans="1:21" hidden="1" x14ac:dyDescent="0.3">
      <c r="A158" s="306">
        <v>262</v>
      </c>
      <c r="B158" s="306" t="s">
        <v>552</v>
      </c>
      <c r="C158" s="307"/>
      <c r="D158" s="308"/>
      <c r="E158" s="308"/>
      <c r="F158" s="308"/>
      <c r="G158" s="308"/>
      <c r="H158" s="308"/>
      <c r="I158" s="308"/>
      <c r="J158" s="308"/>
      <c r="K158" s="308"/>
      <c r="L158" s="308"/>
      <c r="M158" s="308"/>
      <c r="N158" s="308"/>
      <c r="O158" s="308"/>
      <c r="P158" s="308"/>
      <c r="Q158" s="308"/>
      <c r="R158" s="308"/>
      <c r="S158" s="308"/>
      <c r="T158" s="308"/>
      <c r="U158" s="244">
        <f t="shared" si="2"/>
        <v>0</v>
      </c>
    </row>
    <row r="159" spans="1:21" hidden="1" x14ac:dyDescent="0.3">
      <c r="A159" s="306">
        <v>263</v>
      </c>
      <c r="B159" s="306" t="s">
        <v>553</v>
      </c>
      <c r="C159" s="307"/>
      <c r="D159" s="308"/>
      <c r="E159" s="308"/>
      <c r="F159" s="308"/>
      <c r="G159" s="308"/>
      <c r="H159" s="308"/>
      <c r="I159" s="308"/>
      <c r="J159" s="308"/>
      <c r="K159" s="308"/>
      <c r="L159" s="308"/>
      <c r="M159" s="308"/>
      <c r="N159" s="308"/>
      <c r="O159" s="308"/>
      <c r="P159" s="308"/>
      <c r="Q159" s="308"/>
      <c r="R159" s="308"/>
      <c r="S159" s="308"/>
      <c r="T159" s="308"/>
      <c r="U159" s="244">
        <f t="shared" si="2"/>
        <v>0</v>
      </c>
    </row>
    <row r="160" spans="1:21" hidden="1" x14ac:dyDescent="0.3">
      <c r="A160" s="306">
        <v>264</v>
      </c>
      <c r="B160" s="306" t="s">
        <v>554</v>
      </c>
      <c r="C160" s="307"/>
      <c r="D160" s="308"/>
      <c r="E160" s="308"/>
      <c r="F160" s="308"/>
      <c r="G160" s="308"/>
      <c r="H160" s="308"/>
      <c r="I160" s="308"/>
      <c r="J160" s="308"/>
      <c r="K160" s="308"/>
      <c r="L160" s="308"/>
      <c r="M160" s="308"/>
      <c r="N160" s="308"/>
      <c r="O160" s="308"/>
      <c r="P160" s="308"/>
      <c r="Q160" s="308"/>
      <c r="R160" s="308"/>
      <c r="S160" s="308"/>
      <c r="T160" s="308"/>
      <c r="U160" s="244">
        <f t="shared" si="2"/>
        <v>0</v>
      </c>
    </row>
    <row r="161" spans="1:21" hidden="1" x14ac:dyDescent="0.3">
      <c r="A161" s="306">
        <v>265</v>
      </c>
      <c r="B161" s="306" t="s">
        <v>555</v>
      </c>
      <c r="C161" s="307"/>
      <c r="D161" s="308"/>
      <c r="E161" s="308"/>
      <c r="F161" s="308"/>
      <c r="G161" s="308"/>
      <c r="H161" s="308"/>
      <c r="I161" s="308"/>
      <c r="J161" s="308"/>
      <c r="K161" s="308"/>
      <c r="L161" s="308"/>
      <c r="M161" s="308"/>
      <c r="N161" s="308"/>
      <c r="O161" s="308"/>
      <c r="P161" s="308"/>
      <c r="Q161" s="308"/>
      <c r="R161" s="308"/>
      <c r="S161" s="308"/>
      <c r="T161" s="308"/>
      <c r="U161" s="244">
        <f t="shared" si="2"/>
        <v>0</v>
      </c>
    </row>
    <row r="162" spans="1:21" hidden="1" x14ac:dyDescent="0.3">
      <c r="A162" s="306">
        <v>266</v>
      </c>
      <c r="B162" s="306" t="s">
        <v>556</v>
      </c>
      <c r="C162" s="307"/>
      <c r="D162" s="308"/>
      <c r="E162" s="308"/>
      <c r="F162" s="308"/>
      <c r="G162" s="308"/>
      <c r="H162" s="308"/>
      <c r="I162" s="308"/>
      <c r="J162" s="308"/>
      <c r="K162" s="308"/>
      <c r="L162" s="308"/>
      <c r="M162" s="308"/>
      <c r="N162" s="308"/>
      <c r="O162" s="308"/>
      <c r="P162" s="308"/>
      <c r="Q162" s="308"/>
      <c r="R162" s="308"/>
      <c r="S162" s="308"/>
      <c r="T162" s="308"/>
      <c r="U162" s="244">
        <f t="shared" si="2"/>
        <v>0</v>
      </c>
    </row>
    <row r="163" spans="1:21" hidden="1" x14ac:dyDescent="0.3">
      <c r="A163" s="306">
        <v>267</v>
      </c>
      <c r="B163" s="306" t="s">
        <v>557</v>
      </c>
      <c r="C163" s="307"/>
      <c r="D163" s="308"/>
      <c r="E163" s="308"/>
      <c r="F163" s="308"/>
      <c r="G163" s="308"/>
      <c r="H163" s="308"/>
      <c r="I163" s="308"/>
      <c r="J163" s="308"/>
      <c r="K163" s="308"/>
      <c r="L163" s="308"/>
      <c r="M163" s="308"/>
      <c r="N163" s="308"/>
      <c r="O163" s="308"/>
      <c r="P163" s="308"/>
      <c r="Q163" s="308"/>
      <c r="R163" s="308"/>
      <c r="S163" s="308"/>
      <c r="T163" s="308"/>
      <c r="U163" s="244">
        <f t="shared" si="2"/>
        <v>0</v>
      </c>
    </row>
    <row r="164" spans="1:21" hidden="1" x14ac:dyDescent="0.3">
      <c r="A164" s="306">
        <v>268</v>
      </c>
      <c r="B164" s="306" t="s">
        <v>558</v>
      </c>
      <c r="C164" s="307"/>
      <c r="D164" s="308"/>
      <c r="E164" s="308"/>
      <c r="F164" s="308"/>
      <c r="G164" s="308"/>
      <c r="H164" s="308"/>
      <c r="I164" s="308"/>
      <c r="J164" s="308"/>
      <c r="K164" s="308"/>
      <c r="L164" s="308"/>
      <c r="M164" s="308"/>
      <c r="N164" s="308"/>
      <c r="O164" s="308"/>
      <c r="P164" s="308"/>
      <c r="Q164" s="308"/>
      <c r="R164" s="308"/>
      <c r="S164" s="308"/>
      <c r="T164" s="308"/>
      <c r="U164" s="244">
        <f t="shared" si="2"/>
        <v>0</v>
      </c>
    </row>
    <row r="165" spans="1:21" hidden="1" x14ac:dyDescent="0.3">
      <c r="A165" s="306">
        <v>269</v>
      </c>
      <c r="B165" s="306" t="s">
        <v>560</v>
      </c>
      <c r="C165" s="307"/>
      <c r="D165" s="308"/>
      <c r="E165" s="308"/>
      <c r="F165" s="308"/>
      <c r="G165" s="308"/>
      <c r="H165" s="308"/>
      <c r="I165" s="308"/>
      <c r="J165" s="308"/>
      <c r="K165" s="308"/>
      <c r="L165" s="308"/>
      <c r="M165" s="308"/>
      <c r="N165" s="308"/>
      <c r="O165" s="308"/>
      <c r="P165" s="308"/>
      <c r="Q165" s="308"/>
      <c r="R165" s="308"/>
      <c r="S165" s="308"/>
      <c r="T165" s="308"/>
      <c r="U165" s="244">
        <f t="shared" si="2"/>
        <v>0</v>
      </c>
    </row>
    <row r="166" spans="1:21" hidden="1" x14ac:dyDescent="0.3">
      <c r="A166" s="306">
        <v>270</v>
      </c>
      <c r="B166" s="306" t="s">
        <v>562</v>
      </c>
      <c r="C166" s="307"/>
      <c r="D166" s="308"/>
      <c r="E166" s="308"/>
      <c r="F166" s="308"/>
      <c r="G166" s="308"/>
      <c r="H166" s="308"/>
      <c r="I166" s="308"/>
      <c r="J166" s="308"/>
      <c r="K166" s="308"/>
      <c r="L166" s="308"/>
      <c r="M166" s="308"/>
      <c r="N166" s="308"/>
      <c r="O166" s="308"/>
      <c r="P166" s="308"/>
      <c r="Q166" s="308"/>
      <c r="R166" s="308"/>
      <c r="S166" s="308"/>
      <c r="T166" s="308"/>
      <c r="U166" s="244">
        <f t="shared" si="2"/>
        <v>0</v>
      </c>
    </row>
    <row r="167" spans="1:21" hidden="1" x14ac:dyDescent="0.3">
      <c r="A167" s="306">
        <v>271</v>
      </c>
      <c r="B167" s="306" t="s">
        <v>563</v>
      </c>
      <c r="C167" s="307"/>
      <c r="D167" s="308"/>
      <c r="E167" s="308"/>
      <c r="F167" s="308"/>
      <c r="G167" s="308"/>
      <c r="H167" s="308"/>
      <c r="I167" s="308"/>
      <c r="J167" s="308"/>
      <c r="K167" s="308"/>
      <c r="L167" s="308"/>
      <c r="M167" s="308"/>
      <c r="N167" s="308"/>
      <c r="O167" s="308"/>
      <c r="P167" s="308"/>
      <c r="Q167" s="308"/>
      <c r="R167" s="308"/>
      <c r="S167" s="308"/>
      <c r="T167" s="308"/>
      <c r="U167" s="244">
        <f t="shared" si="2"/>
        <v>0</v>
      </c>
    </row>
    <row r="168" spans="1:21" hidden="1" x14ac:dyDescent="0.3">
      <c r="A168" s="306">
        <v>272</v>
      </c>
      <c r="B168" s="306" t="s">
        <v>565</v>
      </c>
      <c r="C168" s="307"/>
      <c r="D168" s="308"/>
      <c r="E168" s="308"/>
      <c r="F168" s="308"/>
      <c r="G168" s="308"/>
      <c r="H168" s="308"/>
      <c r="I168" s="308"/>
      <c r="J168" s="308"/>
      <c r="K168" s="308"/>
      <c r="L168" s="308"/>
      <c r="M168" s="308"/>
      <c r="N168" s="308"/>
      <c r="O168" s="308"/>
      <c r="P168" s="308"/>
      <c r="Q168" s="308"/>
      <c r="R168" s="308"/>
      <c r="S168" s="308"/>
      <c r="T168" s="308"/>
      <c r="U168" s="244">
        <f t="shared" si="2"/>
        <v>0</v>
      </c>
    </row>
    <row r="169" spans="1:21" hidden="1" x14ac:dyDescent="0.3">
      <c r="A169" s="306">
        <v>273</v>
      </c>
      <c r="B169" s="306" t="s">
        <v>567</v>
      </c>
      <c r="C169" s="307"/>
      <c r="D169" s="308"/>
      <c r="E169" s="308"/>
      <c r="F169" s="308"/>
      <c r="G169" s="308"/>
      <c r="H169" s="308">
        <v>5918355.9921259843</v>
      </c>
      <c r="I169" s="308"/>
      <c r="J169" s="308"/>
      <c r="K169" s="308"/>
      <c r="L169" s="308"/>
      <c r="M169" s="308"/>
      <c r="N169" s="308"/>
      <c r="O169" s="308"/>
      <c r="P169" s="308"/>
      <c r="Q169" s="308"/>
      <c r="R169" s="308"/>
      <c r="S169" s="308"/>
      <c r="T169" s="308"/>
      <c r="U169" s="244">
        <f t="shared" si="2"/>
        <v>5918355.9921259843</v>
      </c>
    </row>
    <row r="170" spans="1:21" hidden="1" x14ac:dyDescent="0.3">
      <c r="A170" s="306">
        <v>274</v>
      </c>
      <c r="B170" s="306" t="s">
        <v>569</v>
      </c>
      <c r="C170" s="307"/>
      <c r="D170" s="308"/>
      <c r="E170" s="308"/>
      <c r="F170" s="308"/>
      <c r="G170" s="308"/>
      <c r="H170" s="308"/>
      <c r="I170" s="308"/>
      <c r="J170" s="308"/>
      <c r="K170" s="308"/>
      <c r="L170" s="308"/>
      <c r="M170" s="308"/>
      <c r="N170" s="308"/>
      <c r="O170" s="308"/>
      <c r="P170" s="308"/>
      <c r="Q170" s="308"/>
      <c r="R170" s="308"/>
      <c r="S170" s="308"/>
      <c r="T170" s="308"/>
      <c r="U170" s="244">
        <f t="shared" si="2"/>
        <v>0</v>
      </c>
    </row>
    <row r="171" spans="1:21" hidden="1" x14ac:dyDescent="0.3">
      <c r="A171" s="306">
        <v>275</v>
      </c>
      <c r="B171" s="306" t="s">
        <v>571</v>
      </c>
      <c r="C171" s="307"/>
      <c r="D171" s="308"/>
      <c r="E171" s="308"/>
      <c r="F171" s="308"/>
      <c r="G171" s="308"/>
      <c r="H171" s="308"/>
      <c r="I171" s="308"/>
      <c r="J171" s="308"/>
      <c r="K171" s="308"/>
      <c r="L171" s="308"/>
      <c r="M171" s="308"/>
      <c r="N171" s="308"/>
      <c r="O171" s="308"/>
      <c r="P171" s="308"/>
      <c r="Q171" s="308"/>
      <c r="R171" s="308"/>
      <c r="S171" s="308"/>
      <c r="T171" s="308"/>
      <c r="U171" s="244">
        <f t="shared" si="2"/>
        <v>0</v>
      </c>
    </row>
    <row r="172" spans="1:21" hidden="1" x14ac:dyDescent="0.3">
      <c r="A172" s="306">
        <v>276</v>
      </c>
      <c r="B172" s="306" t="s">
        <v>573</v>
      </c>
      <c r="C172" s="307"/>
      <c r="D172" s="308"/>
      <c r="E172" s="308"/>
      <c r="F172" s="308"/>
      <c r="G172" s="308"/>
      <c r="H172" s="308"/>
      <c r="I172" s="308"/>
      <c r="J172" s="308"/>
      <c r="K172" s="308"/>
      <c r="L172" s="308"/>
      <c r="M172" s="308"/>
      <c r="N172" s="308"/>
      <c r="O172" s="308"/>
      <c r="P172" s="308"/>
      <c r="Q172" s="308"/>
      <c r="R172" s="308"/>
      <c r="S172" s="308"/>
      <c r="T172" s="308"/>
      <c r="U172" s="244">
        <f t="shared" si="2"/>
        <v>0</v>
      </c>
    </row>
    <row r="173" spans="1:21" hidden="1" x14ac:dyDescent="0.3">
      <c r="A173" s="306">
        <v>277</v>
      </c>
      <c r="B173" s="306" t="s">
        <v>575</v>
      </c>
      <c r="C173" s="307"/>
      <c r="D173" s="308"/>
      <c r="E173" s="308"/>
      <c r="F173" s="308"/>
      <c r="G173" s="308"/>
      <c r="H173" s="308"/>
      <c r="I173" s="308"/>
      <c r="J173" s="308"/>
      <c r="K173" s="308"/>
      <c r="L173" s="308"/>
      <c r="M173" s="308"/>
      <c r="N173" s="308"/>
      <c r="O173" s="308"/>
      <c r="P173" s="308"/>
      <c r="Q173" s="308"/>
      <c r="R173" s="308"/>
      <c r="S173" s="308"/>
      <c r="T173" s="308"/>
      <c r="U173" s="244">
        <f t="shared" si="2"/>
        <v>0</v>
      </c>
    </row>
    <row r="174" spans="1:21" hidden="1" x14ac:dyDescent="0.3">
      <c r="A174" s="306">
        <v>278</v>
      </c>
      <c r="B174" s="306" t="s">
        <v>576</v>
      </c>
      <c r="C174" s="307"/>
      <c r="D174" s="308"/>
      <c r="E174" s="308"/>
      <c r="F174" s="308"/>
      <c r="G174" s="308"/>
      <c r="H174" s="308"/>
      <c r="I174" s="308"/>
      <c r="J174" s="308"/>
      <c r="K174" s="308"/>
      <c r="L174" s="308"/>
      <c r="M174" s="308"/>
      <c r="N174" s="308"/>
      <c r="O174" s="308"/>
      <c r="P174" s="308"/>
      <c r="Q174" s="308"/>
      <c r="R174" s="308"/>
      <c r="S174" s="308"/>
      <c r="T174" s="308"/>
      <c r="U174" s="244">
        <f t="shared" si="2"/>
        <v>0</v>
      </c>
    </row>
    <row r="175" spans="1:21" hidden="1" x14ac:dyDescent="0.3">
      <c r="A175" s="306">
        <v>279</v>
      </c>
      <c r="B175" s="306" t="s">
        <v>578</v>
      </c>
      <c r="C175" s="307"/>
      <c r="D175" s="308"/>
      <c r="E175" s="308"/>
      <c r="F175" s="308"/>
      <c r="G175" s="308"/>
      <c r="H175" s="308"/>
      <c r="I175" s="308"/>
      <c r="J175" s="308"/>
      <c r="K175" s="308"/>
      <c r="L175" s="308"/>
      <c r="M175" s="308"/>
      <c r="N175" s="308"/>
      <c r="O175" s="308"/>
      <c r="P175" s="308"/>
      <c r="Q175" s="308"/>
      <c r="R175" s="308"/>
      <c r="S175" s="308"/>
      <c r="T175" s="308"/>
      <c r="U175" s="244">
        <f t="shared" si="2"/>
        <v>0</v>
      </c>
    </row>
    <row r="176" spans="1:21" hidden="1" x14ac:dyDescent="0.3">
      <c r="A176" s="306">
        <v>280</v>
      </c>
      <c r="B176" s="306" t="s">
        <v>579</v>
      </c>
      <c r="C176" s="307"/>
      <c r="D176" s="308"/>
      <c r="E176" s="308"/>
      <c r="F176" s="308"/>
      <c r="G176" s="308"/>
      <c r="H176" s="308"/>
      <c r="I176" s="308"/>
      <c r="J176" s="308"/>
      <c r="K176" s="308"/>
      <c r="L176" s="308"/>
      <c r="M176" s="308"/>
      <c r="N176" s="308"/>
      <c r="O176" s="308"/>
      <c r="P176" s="308"/>
      <c r="Q176" s="308"/>
      <c r="R176" s="308"/>
      <c r="S176" s="308"/>
      <c r="T176" s="308"/>
      <c r="U176" s="244">
        <f t="shared" si="2"/>
        <v>0</v>
      </c>
    </row>
    <row r="177" spans="1:21" hidden="1" x14ac:dyDescent="0.3">
      <c r="A177" s="306">
        <v>281</v>
      </c>
      <c r="B177" s="306" t="s">
        <v>581</v>
      </c>
      <c r="C177" s="307"/>
      <c r="D177" s="308"/>
      <c r="E177" s="308"/>
      <c r="F177" s="308"/>
      <c r="G177" s="308"/>
      <c r="H177" s="308"/>
      <c r="I177" s="308"/>
      <c r="J177" s="308"/>
      <c r="K177" s="308"/>
      <c r="L177" s="308"/>
      <c r="M177" s="308"/>
      <c r="N177" s="308"/>
      <c r="O177" s="308"/>
      <c r="P177" s="308"/>
      <c r="Q177" s="308"/>
      <c r="R177" s="308"/>
      <c r="S177" s="308"/>
      <c r="T177" s="308"/>
      <c r="U177" s="244">
        <f t="shared" si="2"/>
        <v>0</v>
      </c>
    </row>
    <row r="178" spans="1:21" hidden="1" x14ac:dyDescent="0.3">
      <c r="A178" s="306">
        <v>282</v>
      </c>
      <c r="B178" s="306" t="s">
        <v>583</v>
      </c>
      <c r="C178" s="307"/>
      <c r="D178" s="308"/>
      <c r="E178" s="308"/>
      <c r="F178" s="308"/>
      <c r="G178" s="308"/>
      <c r="H178" s="308"/>
      <c r="I178" s="308"/>
      <c r="J178" s="308"/>
      <c r="K178" s="308"/>
      <c r="L178" s="308"/>
      <c r="M178" s="308"/>
      <c r="N178" s="308"/>
      <c r="O178" s="308"/>
      <c r="P178" s="308"/>
      <c r="Q178" s="308"/>
      <c r="R178" s="308"/>
      <c r="S178" s="308"/>
      <c r="T178" s="308"/>
      <c r="U178" s="244">
        <f t="shared" si="2"/>
        <v>0</v>
      </c>
    </row>
    <row r="179" spans="1:21" hidden="1" x14ac:dyDescent="0.3">
      <c r="A179" s="306">
        <v>283</v>
      </c>
      <c r="B179" s="306" t="s">
        <v>585</v>
      </c>
      <c r="C179" s="307"/>
      <c r="D179" s="308"/>
      <c r="E179" s="308"/>
      <c r="F179" s="308"/>
      <c r="G179" s="308"/>
      <c r="H179" s="308"/>
      <c r="I179" s="308"/>
      <c r="J179" s="308"/>
      <c r="K179" s="308"/>
      <c r="L179" s="308"/>
      <c r="M179" s="308"/>
      <c r="N179" s="308"/>
      <c r="O179" s="308"/>
      <c r="P179" s="308"/>
      <c r="Q179" s="308"/>
      <c r="R179" s="308"/>
      <c r="S179" s="308"/>
      <c r="T179" s="308"/>
      <c r="U179" s="244">
        <f t="shared" si="2"/>
        <v>0</v>
      </c>
    </row>
    <row r="180" spans="1:21" hidden="1" x14ac:dyDescent="0.3">
      <c r="A180" s="306">
        <v>284</v>
      </c>
      <c r="B180" s="306" t="s">
        <v>587</v>
      </c>
      <c r="C180" s="307"/>
      <c r="D180" s="308"/>
      <c r="E180" s="308"/>
      <c r="F180" s="308"/>
      <c r="G180" s="308"/>
      <c r="H180" s="308"/>
      <c r="I180" s="308"/>
      <c r="J180" s="308"/>
      <c r="K180" s="308"/>
      <c r="L180" s="308"/>
      <c r="M180" s="308"/>
      <c r="N180" s="308"/>
      <c r="O180" s="308"/>
      <c r="P180" s="308"/>
      <c r="Q180" s="308"/>
      <c r="R180" s="308"/>
      <c r="S180" s="308"/>
      <c r="T180" s="308"/>
      <c r="U180" s="244">
        <f t="shared" si="2"/>
        <v>0</v>
      </c>
    </row>
    <row r="181" spans="1:21" hidden="1" x14ac:dyDescent="0.3">
      <c r="A181" s="306">
        <v>285</v>
      </c>
      <c r="B181" s="306" t="s">
        <v>589</v>
      </c>
      <c r="C181" s="307">
        <v>-3280173.6338925189</v>
      </c>
      <c r="D181" s="308">
        <v>-1997337.8992820641</v>
      </c>
      <c r="E181" s="308">
        <v>0</v>
      </c>
      <c r="F181" s="308">
        <v>0</v>
      </c>
      <c r="G181" s="308">
        <v>0</v>
      </c>
      <c r="H181" s="308">
        <v>-5346256.67</v>
      </c>
      <c r="I181" s="308"/>
      <c r="J181" s="308">
        <v>10623768.300000001</v>
      </c>
      <c r="K181" s="308"/>
      <c r="L181" s="308"/>
      <c r="M181" s="308"/>
      <c r="N181" s="308"/>
      <c r="O181" s="308"/>
      <c r="P181" s="308"/>
      <c r="Q181" s="308"/>
      <c r="R181" s="308"/>
      <c r="S181" s="308"/>
      <c r="T181" s="308"/>
      <c r="U181" s="244">
        <f t="shared" si="2"/>
        <v>9.6825417131185532E-2</v>
      </c>
    </row>
    <row r="182" spans="1:21" hidden="1" x14ac:dyDescent="0.3">
      <c r="A182" s="306">
        <v>286</v>
      </c>
      <c r="B182" s="306" t="s">
        <v>591</v>
      </c>
      <c r="C182" s="307">
        <v>2566005.0074060736</v>
      </c>
      <c r="D182" s="308">
        <v>6395085.5761154369</v>
      </c>
      <c r="E182" s="308">
        <v>0</v>
      </c>
      <c r="F182" s="308"/>
      <c r="G182" s="309">
        <v>-8961090.5835215114</v>
      </c>
      <c r="H182" s="308"/>
      <c r="I182" s="308"/>
      <c r="J182" s="308"/>
      <c r="K182" s="308"/>
      <c r="L182" s="308"/>
      <c r="M182" s="308"/>
      <c r="N182" s="308"/>
      <c r="O182" s="308"/>
      <c r="P182" s="308"/>
      <c r="Q182" s="308"/>
      <c r="R182" s="308"/>
      <c r="S182" s="308"/>
      <c r="T182" s="308"/>
      <c r="U182" s="244">
        <f t="shared" si="2"/>
        <v>0</v>
      </c>
    </row>
    <row r="183" spans="1:21" hidden="1" x14ac:dyDescent="0.3">
      <c r="A183" s="306">
        <v>287</v>
      </c>
      <c r="B183" s="306" t="s">
        <v>2908</v>
      </c>
      <c r="C183" s="307">
        <v>0</v>
      </c>
      <c r="D183" s="308">
        <v>0</v>
      </c>
      <c r="E183" s="308">
        <v>0</v>
      </c>
      <c r="F183" s="308"/>
      <c r="G183" s="308"/>
      <c r="H183" s="308"/>
      <c r="I183" s="308"/>
      <c r="J183" s="308"/>
      <c r="K183" s="308"/>
      <c r="L183" s="308"/>
      <c r="M183" s="308"/>
      <c r="N183" s="308"/>
      <c r="O183" s="308"/>
      <c r="P183" s="308"/>
      <c r="Q183" s="308"/>
      <c r="R183" s="308"/>
      <c r="S183" s="308"/>
      <c r="T183" s="308">
        <v>0</v>
      </c>
      <c r="U183" s="244">
        <f t="shared" si="2"/>
        <v>0</v>
      </c>
    </row>
    <row r="184" spans="1:21" x14ac:dyDescent="0.3">
      <c r="A184" s="306">
        <v>288</v>
      </c>
      <c r="B184" s="306" t="s">
        <v>112</v>
      </c>
      <c r="C184" s="307">
        <v>-10105356.964938616</v>
      </c>
      <c r="D184" s="307">
        <v>-15582630.277867531</v>
      </c>
      <c r="E184" s="307">
        <v>0</v>
      </c>
      <c r="F184" s="307"/>
      <c r="G184" s="307"/>
      <c r="H184" s="307">
        <v>25687987.242806148</v>
      </c>
      <c r="I184" s="308"/>
      <c r="J184" s="308"/>
      <c r="K184" s="308"/>
      <c r="L184" s="308"/>
      <c r="M184" s="308"/>
      <c r="N184" s="308"/>
      <c r="O184" s="308"/>
      <c r="P184" s="308"/>
      <c r="Q184" s="308"/>
      <c r="R184" s="308"/>
      <c r="S184" s="308"/>
      <c r="T184" s="308"/>
      <c r="U184" s="244">
        <f t="shared" si="2"/>
        <v>0</v>
      </c>
    </row>
    <row r="185" spans="1:21" hidden="1" x14ac:dyDescent="0.3">
      <c r="A185" s="306">
        <v>290</v>
      </c>
      <c r="B185" s="306" t="s">
        <v>596</v>
      </c>
      <c r="C185" s="307">
        <v>2088565.2628099173</v>
      </c>
      <c r="D185" s="307">
        <v>3220602.7371900827</v>
      </c>
      <c r="E185" s="307">
        <v>0</v>
      </c>
      <c r="F185" s="307"/>
      <c r="G185" s="307"/>
      <c r="H185" s="307"/>
      <c r="I185" s="308">
        <v>-5309168</v>
      </c>
      <c r="J185" s="308"/>
      <c r="K185" s="308"/>
      <c r="L185" s="308"/>
      <c r="M185" s="308"/>
      <c r="N185" s="308"/>
      <c r="O185" s="308"/>
      <c r="P185" s="308"/>
      <c r="Q185" s="308"/>
      <c r="R185" s="308"/>
      <c r="S185" s="308"/>
      <c r="T185" s="308"/>
      <c r="U185" s="244">
        <f t="shared" si="2"/>
        <v>0</v>
      </c>
    </row>
    <row r="186" spans="1:21" hidden="1" x14ac:dyDescent="0.3">
      <c r="A186" s="306">
        <v>291</v>
      </c>
      <c r="B186" s="306" t="s">
        <v>598</v>
      </c>
      <c r="C186" s="307">
        <v>0</v>
      </c>
      <c r="D186" s="307">
        <v>0</v>
      </c>
      <c r="E186" s="307">
        <v>0</v>
      </c>
      <c r="F186" s="307"/>
      <c r="G186" s="307"/>
      <c r="H186" s="307"/>
      <c r="I186" s="308"/>
      <c r="J186" s="308"/>
      <c r="K186" s="308"/>
      <c r="L186" s="308"/>
      <c r="M186" s="308"/>
      <c r="N186" s="308"/>
      <c r="O186" s="308"/>
      <c r="P186" s="308"/>
      <c r="Q186" s="308"/>
      <c r="R186" s="308"/>
      <c r="S186" s="308"/>
      <c r="T186" s="308"/>
      <c r="U186" s="244">
        <f t="shared" si="2"/>
        <v>0</v>
      </c>
    </row>
    <row r="187" spans="1:21" hidden="1" x14ac:dyDescent="0.3">
      <c r="A187" s="306">
        <v>292</v>
      </c>
      <c r="B187" s="306" t="s">
        <v>600</v>
      </c>
      <c r="C187" s="307"/>
      <c r="D187" s="307"/>
      <c r="E187" s="307"/>
      <c r="F187" s="307"/>
      <c r="G187" s="307"/>
      <c r="H187" s="307"/>
      <c r="I187" s="308"/>
      <c r="J187" s="308"/>
      <c r="K187" s="308"/>
      <c r="L187" s="308"/>
      <c r="M187" s="308"/>
      <c r="N187" s="308"/>
      <c r="O187" s="308"/>
      <c r="P187" s="308"/>
      <c r="Q187" s="308"/>
      <c r="R187" s="308"/>
      <c r="S187" s="308"/>
      <c r="T187" s="308"/>
      <c r="U187" s="244">
        <f t="shared" si="2"/>
        <v>0</v>
      </c>
    </row>
    <row r="188" spans="1:21" hidden="1" x14ac:dyDescent="0.3">
      <c r="A188" s="306">
        <v>293</v>
      </c>
      <c r="B188" s="306" t="s">
        <v>602</v>
      </c>
      <c r="C188" s="307">
        <v>0</v>
      </c>
      <c r="D188" s="307">
        <v>0</v>
      </c>
      <c r="E188" s="307">
        <v>0</v>
      </c>
      <c r="F188" s="307"/>
      <c r="G188" s="307"/>
      <c r="H188" s="307"/>
      <c r="I188" s="308"/>
      <c r="J188" s="308"/>
      <c r="K188" s="308"/>
      <c r="L188" s="308"/>
      <c r="M188" s="308"/>
      <c r="N188" s="308"/>
      <c r="O188" s="308"/>
      <c r="P188" s="308"/>
      <c r="Q188" s="308"/>
      <c r="R188" s="308"/>
      <c r="S188" s="308"/>
      <c r="T188" s="308"/>
      <c r="U188" s="244">
        <f t="shared" si="2"/>
        <v>0</v>
      </c>
    </row>
    <row r="189" spans="1:21" hidden="1" x14ac:dyDescent="0.3">
      <c r="A189" s="306">
        <v>294</v>
      </c>
      <c r="B189" s="306" t="s">
        <v>604</v>
      </c>
      <c r="C189" s="307"/>
      <c r="D189" s="307"/>
      <c r="E189" s="307"/>
      <c r="F189" s="307"/>
      <c r="G189" s="310">
        <v>-138909.41664954461</v>
      </c>
      <c r="H189" s="307"/>
      <c r="I189" s="308"/>
      <c r="J189" s="308"/>
      <c r="K189" s="308"/>
      <c r="L189" s="308"/>
      <c r="M189" s="308"/>
      <c r="N189" s="308"/>
      <c r="O189" s="308">
        <v>138909.41664954461</v>
      </c>
      <c r="P189" s="308"/>
      <c r="Q189" s="308"/>
      <c r="R189" s="308">
        <v>0</v>
      </c>
      <c r="S189" s="308"/>
      <c r="T189" s="308"/>
      <c r="U189" s="244">
        <f t="shared" si="2"/>
        <v>0</v>
      </c>
    </row>
    <row r="190" spans="1:21" hidden="1" x14ac:dyDescent="0.3">
      <c r="A190" s="306">
        <v>297</v>
      </c>
      <c r="B190" s="306" t="s">
        <v>609</v>
      </c>
      <c r="C190" s="307">
        <v>-258961.07635993569</v>
      </c>
      <c r="D190" s="307">
        <v>-157684.57099595241</v>
      </c>
      <c r="E190" s="307">
        <v>0</v>
      </c>
      <c r="F190" s="307">
        <v>838718.54999999993</v>
      </c>
      <c r="G190" s="307">
        <v>0</v>
      </c>
      <c r="H190" s="307">
        <v>-422072.89499999996</v>
      </c>
      <c r="I190" s="308"/>
      <c r="J190" s="308"/>
      <c r="K190" s="308"/>
      <c r="L190" s="308"/>
      <c r="M190" s="308"/>
      <c r="N190" s="308"/>
      <c r="O190" s="308"/>
      <c r="P190" s="308"/>
      <c r="Q190" s="308"/>
      <c r="R190" s="308"/>
      <c r="S190" s="308"/>
      <c r="T190" s="308"/>
      <c r="U190" s="244">
        <f t="shared" si="2"/>
        <v>7.6441118726506829E-3</v>
      </c>
    </row>
    <row r="191" spans="1:21" hidden="1" x14ac:dyDescent="0.3">
      <c r="A191" s="306">
        <v>298</v>
      </c>
      <c r="B191" s="306" t="s">
        <v>611</v>
      </c>
      <c r="C191" s="307">
        <v>-86320.358786645229</v>
      </c>
      <c r="D191" s="307">
        <v>-52561.523665317472</v>
      </c>
      <c r="E191" s="307">
        <v>0</v>
      </c>
      <c r="F191" s="307">
        <v>0</v>
      </c>
      <c r="G191" s="307">
        <v>0</v>
      </c>
      <c r="H191" s="307">
        <v>-140690.965</v>
      </c>
      <c r="I191" s="308">
        <v>0</v>
      </c>
      <c r="J191" s="308">
        <v>0</v>
      </c>
      <c r="K191" s="308">
        <v>0</v>
      </c>
      <c r="L191" s="308">
        <v>279572.84999999998</v>
      </c>
      <c r="M191" s="308"/>
      <c r="N191" s="308"/>
      <c r="O191" s="308"/>
      <c r="P191" s="308"/>
      <c r="Q191" s="308"/>
      <c r="R191" s="308"/>
      <c r="S191" s="308"/>
      <c r="T191" s="308"/>
      <c r="U191" s="244">
        <f t="shared" si="2"/>
        <v>2.5480372714810073E-3</v>
      </c>
    </row>
    <row r="192" spans="1:21" hidden="1" x14ac:dyDescent="0.3">
      <c r="A192" s="306">
        <v>299</v>
      </c>
      <c r="B192" s="306" t="s">
        <v>613</v>
      </c>
      <c r="C192" s="307">
        <v>-3280173.6338925189</v>
      </c>
      <c r="D192" s="307">
        <v>-1997337.8992820641</v>
      </c>
      <c r="E192" s="307">
        <v>27506684.003174581</v>
      </c>
      <c r="F192" s="307"/>
      <c r="G192" s="307"/>
      <c r="H192" s="307">
        <v>-22229172.469999999</v>
      </c>
      <c r="I192" s="308"/>
      <c r="J192" s="308"/>
      <c r="K192" s="308"/>
      <c r="L192" s="308"/>
      <c r="M192" s="308"/>
      <c r="N192" s="308"/>
      <c r="O192" s="308"/>
      <c r="P192" s="308"/>
      <c r="Q192" s="308"/>
      <c r="R192" s="308"/>
      <c r="S192" s="308"/>
      <c r="T192" s="308"/>
      <c r="U192" s="244">
        <f t="shared" si="2"/>
        <v>0</v>
      </c>
    </row>
    <row r="193" spans="1:21" hidden="1" x14ac:dyDescent="0.3">
      <c r="A193" s="306">
        <v>300</v>
      </c>
      <c r="B193" s="306" t="s">
        <v>615</v>
      </c>
      <c r="C193" s="307">
        <v>0</v>
      </c>
      <c r="D193" s="307">
        <v>27382364.700839356</v>
      </c>
      <c r="E193" s="307">
        <v>-27382365.150839355</v>
      </c>
      <c r="F193" s="307">
        <v>0.45000000006984919</v>
      </c>
      <c r="G193" s="307"/>
      <c r="H193" s="307">
        <v>0</v>
      </c>
      <c r="I193" s="308"/>
      <c r="J193" s="308"/>
      <c r="K193" s="308"/>
      <c r="L193" s="308"/>
      <c r="M193" s="308"/>
      <c r="N193" s="308"/>
      <c r="O193" s="308"/>
      <c r="P193" s="308"/>
      <c r="Q193" s="308"/>
      <c r="R193" s="308"/>
      <c r="S193" s="308"/>
      <c r="T193" s="308"/>
      <c r="U193" s="244">
        <f t="shared" si="2"/>
        <v>8.149072527885437E-10</v>
      </c>
    </row>
    <row r="194" spans="1:21" hidden="1" x14ac:dyDescent="0.3">
      <c r="A194" s="306">
        <v>301</v>
      </c>
      <c r="B194" s="306" t="s">
        <v>617</v>
      </c>
      <c r="C194" s="307">
        <v>14698066.749922974</v>
      </c>
      <c r="D194" s="307">
        <v>4117219.1569480593</v>
      </c>
      <c r="E194" s="307">
        <v>0</v>
      </c>
      <c r="F194" s="307"/>
      <c r="G194" s="310"/>
      <c r="H194" s="307"/>
      <c r="I194" s="308"/>
      <c r="J194" s="308"/>
      <c r="K194" s="308"/>
      <c r="L194" s="308"/>
      <c r="M194" s="308"/>
      <c r="N194" s="308"/>
      <c r="O194" s="308">
        <v>-18348552.708645355</v>
      </c>
      <c r="P194" s="308"/>
      <c r="Q194" s="308"/>
      <c r="R194" s="308">
        <v>-466733.1982256826</v>
      </c>
      <c r="S194" s="308"/>
      <c r="T194" s="308"/>
      <c r="U194" s="244">
        <f t="shared" si="2"/>
        <v>-5.5879354476928711E-9</v>
      </c>
    </row>
    <row r="195" spans="1:21" hidden="1" x14ac:dyDescent="0.3">
      <c r="A195" s="306">
        <v>320</v>
      </c>
      <c r="B195" s="306" t="s">
        <v>655</v>
      </c>
      <c r="C195" s="307">
        <v>313639.87420462712</v>
      </c>
      <c r="D195" s="307">
        <v>454360.12579537288</v>
      </c>
      <c r="E195" s="307">
        <v>0</v>
      </c>
      <c r="F195" s="307"/>
      <c r="G195" s="310">
        <v>105166091.74698077</v>
      </c>
      <c r="H195" s="307"/>
      <c r="I195" s="308"/>
      <c r="J195" s="308"/>
      <c r="K195" s="308"/>
      <c r="L195" s="308"/>
      <c r="M195" s="308"/>
      <c r="N195" s="308"/>
      <c r="O195" s="308"/>
      <c r="P195" s="308"/>
      <c r="Q195" s="308"/>
      <c r="R195" s="308"/>
      <c r="S195" s="308"/>
      <c r="T195" s="308"/>
      <c r="U195" s="244">
        <f t="shared" si="2"/>
        <v>105934091.74698077</v>
      </c>
    </row>
    <row r="196" spans="1:21" hidden="1" x14ac:dyDescent="0.3">
      <c r="A196" s="306">
        <v>322</v>
      </c>
      <c r="B196" s="306" t="s">
        <v>659</v>
      </c>
      <c r="C196" s="307">
        <v>9072242.6722960062</v>
      </c>
      <c r="D196" s="307">
        <v>15006757.327703994</v>
      </c>
      <c r="E196" s="307">
        <v>0</v>
      </c>
      <c r="F196" s="307">
        <v>0</v>
      </c>
      <c r="G196" s="310"/>
      <c r="H196" s="307"/>
      <c r="I196" s="308"/>
      <c r="J196" s="308"/>
      <c r="K196" s="308"/>
      <c r="L196" s="308"/>
      <c r="M196" s="308"/>
      <c r="N196" s="308"/>
      <c r="O196" s="308"/>
      <c r="P196" s="308"/>
      <c r="Q196" s="308"/>
      <c r="R196" s="308"/>
      <c r="S196" s="308"/>
      <c r="T196" s="308"/>
      <c r="U196" s="244">
        <f t="shared" si="2"/>
        <v>24079000</v>
      </c>
    </row>
    <row r="197" spans="1:21" hidden="1" x14ac:dyDescent="0.3">
      <c r="A197" s="306">
        <v>327</v>
      </c>
      <c r="B197" s="306" t="s">
        <v>669</v>
      </c>
      <c r="C197" s="307">
        <v>0</v>
      </c>
      <c r="D197" s="307">
        <v>0</v>
      </c>
      <c r="E197" s="307">
        <v>0</v>
      </c>
      <c r="F197" s="307"/>
      <c r="G197" s="307">
        <v>0</v>
      </c>
      <c r="H197" s="307"/>
      <c r="I197" s="308"/>
      <c r="J197" s="308"/>
      <c r="K197" s="308"/>
      <c r="L197" s="308"/>
      <c r="M197" s="308"/>
      <c r="N197" s="308"/>
      <c r="O197" s="308"/>
      <c r="P197" s="308"/>
      <c r="Q197" s="308"/>
      <c r="R197" s="308"/>
      <c r="S197" s="308"/>
      <c r="T197" s="308"/>
      <c r="U197" s="244">
        <f t="shared" si="2"/>
        <v>0</v>
      </c>
    </row>
    <row r="198" spans="1:21" hidden="1" x14ac:dyDescent="0.3">
      <c r="A198" s="306">
        <v>332</v>
      </c>
      <c r="B198" s="306" t="s">
        <v>678</v>
      </c>
      <c r="C198" s="307">
        <v>-27820008.582193818</v>
      </c>
      <c r="D198" s="307">
        <v>-41036272.808670446</v>
      </c>
      <c r="E198" s="307">
        <v>0</v>
      </c>
      <c r="F198" s="307">
        <v>0</v>
      </c>
      <c r="G198" s="307">
        <v>0</v>
      </c>
      <c r="H198" s="307">
        <v>0</v>
      </c>
      <c r="I198" s="308"/>
      <c r="J198" s="308">
        <v>68856281.306689546</v>
      </c>
      <c r="K198" s="308"/>
      <c r="L198" s="308"/>
      <c r="M198" s="308"/>
      <c r="N198" s="308"/>
      <c r="O198" s="308"/>
      <c r="P198" s="308"/>
      <c r="Q198" s="308"/>
      <c r="R198" s="308"/>
      <c r="S198" s="308"/>
      <c r="T198" s="308"/>
      <c r="U198" s="244">
        <f t="shared" si="2"/>
        <v>-8.417472243309021E-2</v>
      </c>
    </row>
    <row r="199" spans="1:21" hidden="1" x14ac:dyDescent="0.3">
      <c r="A199" s="306">
        <v>333</v>
      </c>
      <c r="B199" s="306" t="s">
        <v>680</v>
      </c>
      <c r="C199" s="307">
        <v>59218963.893546388</v>
      </c>
      <c r="D199" s="307">
        <v>58813041.330586895</v>
      </c>
      <c r="E199" s="307">
        <v>0</v>
      </c>
      <c r="F199" s="307"/>
      <c r="G199" s="310">
        <v>-103010412.66260937</v>
      </c>
      <c r="H199" s="307"/>
      <c r="I199" s="308"/>
      <c r="J199" s="308"/>
      <c r="K199" s="308"/>
      <c r="L199" s="308"/>
      <c r="M199" s="308"/>
      <c r="N199" s="308"/>
      <c r="O199" s="308"/>
      <c r="P199" s="308"/>
      <c r="Q199" s="308"/>
      <c r="R199" s="308"/>
      <c r="S199" s="308"/>
      <c r="T199" s="308"/>
      <c r="U199" s="244">
        <f t="shared" si="2"/>
        <v>15021592.561523914</v>
      </c>
    </row>
    <row r="200" spans="1:21" hidden="1" x14ac:dyDescent="0.3">
      <c r="A200" s="306">
        <v>334</v>
      </c>
      <c r="B200" s="306" t="s">
        <v>2907</v>
      </c>
      <c r="C200" s="307">
        <v>-10711788.637058344</v>
      </c>
      <c r="D200" s="307">
        <v>-15517828.034365002</v>
      </c>
      <c r="E200" s="307">
        <v>0</v>
      </c>
      <c r="F200" s="307"/>
      <c r="G200" s="307"/>
      <c r="H200" s="307"/>
      <c r="I200" s="308"/>
      <c r="J200" s="308"/>
      <c r="K200" s="308"/>
      <c r="L200" s="308"/>
      <c r="M200" s="308"/>
      <c r="N200" s="308"/>
      <c r="O200" s="308"/>
      <c r="P200" s="308"/>
      <c r="Q200" s="308"/>
      <c r="R200" s="308"/>
      <c r="S200" s="308"/>
      <c r="T200" s="308">
        <v>26229616.671423346</v>
      </c>
      <c r="U200" s="244">
        <f t="shared" ref="U200:U229" si="3">SUM(C200:T200)</f>
        <v>0</v>
      </c>
    </row>
    <row r="201" spans="1:21" hidden="1" x14ac:dyDescent="0.3">
      <c r="A201" s="306">
        <v>335</v>
      </c>
      <c r="B201" s="306" t="s">
        <v>682</v>
      </c>
      <c r="C201" s="307">
        <v>-6520160.9235145459</v>
      </c>
      <c r="D201" s="307">
        <v>-8091475.1442481671</v>
      </c>
      <c r="E201" s="307">
        <v>0</v>
      </c>
      <c r="F201" s="307"/>
      <c r="G201" s="307"/>
      <c r="H201" s="307">
        <v>-341923.93223728728</v>
      </c>
      <c r="I201" s="308"/>
      <c r="J201" s="308"/>
      <c r="K201" s="308">
        <v>14953560</v>
      </c>
      <c r="L201" s="308"/>
      <c r="M201" s="308"/>
      <c r="N201" s="308"/>
      <c r="O201" s="308"/>
      <c r="P201" s="308"/>
      <c r="Q201" s="308"/>
      <c r="R201" s="308"/>
      <c r="S201" s="308"/>
      <c r="T201" s="308"/>
      <c r="U201" s="244">
        <f t="shared" si="3"/>
        <v>0</v>
      </c>
    </row>
    <row r="202" spans="1:21" hidden="1" x14ac:dyDescent="0.3">
      <c r="A202" s="306">
        <v>336</v>
      </c>
      <c r="B202" s="306" t="s">
        <v>684</v>
      </c>
      <c r="C202" s="307">
        <v>545169.48760330584</v>
      </c>
      <c r="D202" s="307">
        <v>840660.51239669416</v>
      </c>
      <c r="E202" s="307">
        <v>0</v>
      </c>
      <c r="F202" s="307"/>
      <c r="G202" s="307"/>
      <c r="H202" s="307"/>
      <c r="I202" s="308">
        <v>-1385830</v>
      </c>
      <c r="J202" s="308"/>
      <c r="K202" s="308"/>
      <c r="L202" s="308"/>
      <c r="M202" s="308"/>
      <c r="N202" s="308"/>
      <c r="O202" s="308"/>
      <c r="P202" s="308"/>
      <c r="Q202" s="308"/>
      <c r="R202" s="308"/>
      <c r="S202" s="308"/>
      <c r="T202" s="308"/>
      <c r="U202" s="244">
        <f t="shared" si="3"/>
        <v>0</v>
      </c>
    </row>
    <row r="203" spans="1:21" hidden="1" x14ac:dyDescent="0.3">
      <c r="A203" s="306">
        <v>337</v>
      </c>
      <c r="B203" s="306" t="s">
        <v>686</v>
      </c>
      <c r="C203" s="307">
        <v>0</v>
      </c>
      <c r="D203" s="307">
        <v>0</v>
      </c>
      <c r="E203" s="307">
        <v>0</v>
      </c>
      <c r="F203" s="307"/>
      <c r="G203" s="307"/>
      <c r="H203" s="307"/>
      <c r="I203" s="308"/>
      <c r="J203" s="308"/>
      <c r="K203" s="308"/>
      <c r="L203" s="308"/>
      <c r="M203" s="308"/>
      <c r="N203" s="308"/>
      <c r="O203" s="308"/>
      <c r="P203" s="308"/>
      <c r="Q203" s="308"/>
      <c r="R203" s="308"/>
      <c r="S203" s="308"/>
      <c r="T203" s="308"/>
      <c r="U203" s="244">
        <f t="shared" si="3"/>
        <v>0</v>
      </c>
    </row>
    <row r="204" spans="1:21" hidden="1" x14ac:dyDescent="0.3">
      <c r="A204" s="306">
        <v>340</v>
      </c>
      <c r="B204" s="306" t="s">
        <v>690</v>
      </c>
      <c r="C204" s="307">
        <v>0</v>
      </c>
      <c r="D204" s="307">
        <v>0</v>
      </c>
      <c r="E204" s="307">
        <v>0</v>
      </c>
      <c r="F204" s="307"/>
      <c r="G204" s="307"/>
      <c r="H204" s="307"/>
      <c r="I204" s="308"/>
      <c r="J204" s="308"/>
      <c r="K204" s="308"/>
      <c r="L204" s="308"/>
      <c r="M204" s="308"/>
      <c r="N204" s="308"/>
      <c r="O204" s="308"/>
      <c r="P204" s="308"/>
      <c r="Q204" s="308"/>
      <c r="R204" s="308"/>
      <c r="S204" s="308"/>
      <c r="T204" s="308"/>
      <c r="U204" s="244">
        <f t="shared" si="3"/>
        <v>0</v>
      </c>
    </row>
    <row r="205" spans="1:21" hidden="1" x14ac:dyDescent="0.3">
      <c r="A205" s="306">
        <v>341</v>
      </c>
      <c r="B205" s="306" t="s">
        <v>692</v>
      </c>
      <c r="C205" s="307">
        <v>-2196316.4670153013</v>
      </c>
      <c r="D205" s="307">
        <v>-3239705.7480529295</v>
      </c>
      <c r="E205" s="307">
        <v>0</v>
      </c>
      <c r="F205" s="307">
        <v>5436022.2084228592</v>
      </c>
      <c r="G205" s="307">
        <v>0</v>
      </c>
      <c r="H205" s="307">
        <v>0</v>
      </c>
      <c r="I205" s="308"/>
      <c r="J205" s="308"/>
      <c r="K205" s="308"/>
      <c r="L205" s="308"/>
      <c r="M205" s="308"/>
      <c r="N205" s="308"/>
      <c r="O205" s="308"/>
      <c r="P205" s="308"/>
      <c r="Q205" s="308"/>
      <c r="R205" s="308"/>
      <c r="S205" s="308"/>
      <c r="T205" s="308"/>
      <c r="U205" s="244">
        <f t="shared" si="3"/>
        <v>-6.6453712061047554E-3</v>
      </c>
    </row>
    <row r="206" spans="1:21" hidden="1" x14ac:dyDescent="0.3">
      <c r="A206" s="306">
        <v>342</v>
      </c>
      <c r="B206" s="306" t="s">
        <v>694</v>
      </c>
      <c r="C206" s="307">
        <v>-732105.48900510045</v>
      </c>
      <c r="D206" s="307">
        <v>-1079901.9160176432</v>
      </c>
      <c r="E206" s="307">
        <v>0</v>
      </c>
      <c r="F206" s="307">
        <v>0</v>
      </c>
      <c r="G206" s="307">
        <v>0</v>
      </c>
      <c r="H206" s="307">
        <v>0</v>
      </c>
      <c r="I206" s="308">
        <v>0</v>
      </c>
      <c r="J206" s="308">
        <v>0</v>
      </c>
      <c r="K206" s="308">
        <v>0</v>
      </c>
      <c r="L206" s="308">
        <v>1812007.4028076194</v>
      </c>
      <c r="M206" s="308"/>
      <c r="N206" s="308"/>
      <c r="O206" s="308"/>
      <c r="P206" s="308"/>
      <c r="Q206" s="308"/>
      <c r="R206" s="308"/>
      <c r="S206" s="308"/>
      <c r="T206" s="308"/>
      <c r="U206" s="244">
        <f t="shared" si="3"/>
        <v>-2.2151242010295391E-3</v>
      </c>
    </row>
    <row r="207" spans="1:21" hidden="1" x14ac:dyDescent="0.3">
      <c r="A207" s="306">
        <v>343</v>
      </c>
      <c r="B207" s="306" t="s">
        <v>696</v>
      </c>
      <c r="C207" s="307"/>
      <c r="D207" s="307"/>
      <c r="E207" s="307"/>
      <c r="F207" s="307"/>
      <c r="G207" s="310">
        <v>-2155679.0843714089</v>
      </c>
      <c r="H207" s="307"/>
      <c r="I207" s="308"/>
      <c r="J207" s="308"/>
      <c r="K207" s="308"/>
      <c r="L207" s="308"/>
      <c r="M207" s="308"/>
      <c r="N207" s="308"/>
      <c r="O207" s="308"/>
      <c r="P207" s="308">
        <v>2155679.0843714089</v>
      </c>
      <c r="Q207" s="308">
        <v>0</v>
      </c>
      <c r="R207" s="308"/>
      <c r="S207" s="308"/>
      <c r="T207" s="308"/>
      <c r="U207" s="244">
        <f t="shared" si="3"/>
        <v>0</v>
      </c>
    </row>
    <row r="208" spans="1:21" hidden="1" x14ac:dyDescent="0.3">
      <c r="A208" s="306">
        <v>344</v>
      </c>
      <c r="B208" s="306" t="s">
        <v>698</v>
      </c>
      <c r="C208" s="307">
        <v>-37152751.73886241</v>
      </c>
      <c r="D208" s="307">
        <v>-56112242.52328895</v>
      </c>
      <c r="E208" s="307">
        <v>68514357.458626986</v>
      </c>
      <c r="F208" s="307"/>
      <c r="G208" s="307"/>
      <c r="H208" s="307">
        <v>341923.93223728728</v>
      </c>
      <c r="I208" s="308"/>
      <c r="J208" s="308"/>
      <c r="K208" s="308"/>
      <c r="L208" s="308"/>
      <c r="M208" s="308"/>
      <c r="N208" s="308"/>
      <c r="O208" s="308"/>
      <c r="P208" s="308"/>
      <c r="Q208" s="308"/>
      <c r="R208" s="308"/>
      <c r="S208" s="308">
        <v>24408712.8712871</v>
      </c>
      <c r="T208" s="308"/>
      <c r="U208" s="244">
        <f t="shared" si="3"/>
        <v>0</v>
      </c>
    </row>
    <row r="209" spans="1:21" hidden="1" x14ac:dyDescent="0.3">
      <c r="A209" s="306">
        <v>345</v>
      </c>
      <c r="B209" s="306" t="s">
        <v>700</v>
      </c>
      <c r="C209" s="307">
        <v>40294981.400237098</v>
      </c>
      <c r="D209" s="307">
        <v>24848721.156612575</v>
      </c>
      <c r="E209" s="307">
        <v>-65143702.556849673</v>
      </c>
      <c r="F209" s="307">
        <v>0</v>
      </c>
      <c r="G209" s="307"/>
      <c r="H209" s="307">
        <v>0</v>
      </c>
      <c r="I209" s="308"/>
      <c r="J209" s="308"/>
      <c r="K209" s="308"/>
      <c r="L209" s="308"/>
      <c r="M209" s="308"/>
      <c r="N209" s="308"/>
      <c r="O209" s="308"/>
      <c r="P209" s="308"/>
      <c r="Q209" s="308"/>
      <c r="R209" s="308"/>
      <c r="S209" s="308"/>
      <c r="T209" s="308"/>
      <c r="U209" s="244">
        <f t="shared" si="3"/>
        <v>0</v>
      </c>
    </row>
    <row r="210" spans="1:21" hidden="1" x14ac:dyDescent="0.3">
      <c r="A210" s="306">
        <v>346</v>
      </c>
      <c r="B210" s="306" t="s">
        <v>702</v>
      </c>
      <c r="C210" s="307">
        <v>-5416856.2142797764</v>
      </c>
      <c r="D210" s="307">
        <v>-8750306.1922981013</v>
      </c>
      <c r="E210" s="307">
        <v>0</v>
      </c>
      <c r="F210" s="307"/>
      <c r="G210" s="307"/>
      <c r="H210" s="307"/>
      <c r="I210" s="308"/>
      <c r="J210" s="308"/>
      <c r="K210" s="308"/>
      <c r="L210" s="308"/>
      <c r="M210" s="308"/>
      <c r="N210" s="308">
        <v>14167162.406577878</v>
      </c>
      <c r="O210" s="308"/>
      <c r="P210" s="308"/>
      <c r="Q210" s="308"/>
      <c r="R210" s="308"/>
      <c r="S210" s="308"/>
      <c r="T210" s="308"/>
      <c r="U210" s="244">
        <f t="shared" si="3"/>
        <v>0</v>
      </c>
    </row>
    <row r="211" spans="1:21" hidden="1" x14ac:dyDescent="0.3">
      <c r="A211" s="306">
        <v>349</v>
      </c>
      <c r="B211" s="306" t="s">
        <v>706</v>
      </c>
      <c r="C211" s="307">
        <v>77816251.36097306</v>
      </c>
      <c r="D211" s="307">
        <v>141706224.41944236</v>
      </c>
      <c r="E211" s="307">
        <v>0</v>
      </c>
      <c r="F211" s="307"/>
      <c r="G211" s="307"/>
      <c r="H211" s="307"/>
      <c r="I211" s="308"/>
      <c r="J211" s="308"/>
      <c r="K211" s="308"/>
      <c r="L211" s="308"/>
      <c r="M211" s="308"/>
      <c r="N211" s="308"/>
      <c r="O211" s="308"/>
      <c r="P211" s="308">
        <v>-219522475.78041548</v>
      </c>
      <c r="Q211" s="308">
        <v>0</v>
      </c>
      <c r="R211" s="308"/>
      <c r="S211" s="308"/>
      <c r="T211" s="308"/>
      <c r="U211" s="244">
        <f t="shared" si="3"/>
        <v>-5.9604644775390625E-8</v>
      </c>
    </row>
    <row r="212" spans="1:21" x14ac:dyDescent="0.3">
      <c r="A212" s="306">
        <v>350</v>
      </c>
      <c r="B212" s="306" t="s">
        <v>113</v>
      </c>
      <c r="C212" s="307">
        <v>-20359040.996142603</v>
      </c>
      <c r="D212" s="307">
        <v>-31393983.384808131</v>
      </c>
      <c r="E212" s="307">
        <v>0</v>
      </c>
      <c r="F212" s="307"/>
      <c r="G212" s="307"/>
      <c r="H212" s="307">
        <v>51753024.380950734</v>
      </c>
      <c r="I212" s="308"/>
      <c r="J212" s="308"/>
      <c r="K212" s="308"/>
      <c r="L212" s="308"/>
      <c r="M212" s="308"/>
      <c r="N212" s="308"/>
      <c r="O212" s="308"/>
      <c r="P212" s="308"/>
      <c r="Q212" s="308"/>
      <c r="R212" s="308"/>
      <c r="S212" s="308"/>
      <c r="T212" s="308"/>
      <c r="U212" s="244">
        <f t="shared" si="3"/>
        <v>0</v>
      </c>
    </row>
    <row r="213" spans="1:21" hidden="1" x14ac:dyDescent="0.3">
      <c r="A213" s="306" t="s">
        <v>114</v>
      </c>
      <c r="B213" s="306" t="s">
        <v>2920</v>
      </c>
      <c r="C213" s="307">
        <v>280628911.38330388</v>
      </c>
      <c r="D213" s="308">
        <v>364782595.47620296</v>
      </c>
      <c r="E213" s="308">
        <v>150673625.5802398</v>
      </c>
      <c r="F213" s="308">
        <v>67088511.933691427</v>
      </c>
      <c r="G213" s="308">
        <v>0</v>
      </c>
      <c r="H213" s="308">
        <v>346357803.79720294</v>
      </c>
      <c r="I213" s="308">
        <v>-13389996</v>
      </c>
      <c r="J213" s="308">
        <v>158960099.21337909</v>
      </c>
      <c r="K213" s="308">
        <v>29907120</v>
      </c>
      <c r="L213" s="308">
        <v>4183160.505615239</v>
      </c>
      <c r="M213" s="308">
        <v>0</v>
      </c>
      <c r="N213" s="308">
        <v>28334324.813155755</v>
      </c>
      <c r="O213" s="308">
        <v>-18209643.291995808</v>
      </c>
      <c r="P213" s="308">
        <v>-217366796.69604406</v>
      </c>
      <c r="Q213" s="308">
        <v>0</v>
      </c>
      <c r="R213" s="308">
        <v>-466733.1982256826</v>
      </c>
      <c r="S213" s="308">
        <v>48817425.7425742</v>
      </c>
      <c r="T213" s="308">
        <v>52459233.342846692</v>
      </c>
      <c r="U213" s="244">
        <f t="shared" si="3"/>
        <v>1282759642.6019464</v>
      </c>
    </row>
    <row r="214" spans="1:21" hidden="1" x14ac:dyDescent="0.3">
      <c r="A214" s="306"/>
      <c r="B214" s="306" t="s">
        <v>2623</v>
      </c>
      <c r="C214" s="307"/>
      <c r="D214" s="308"/>
      <c r="E214" s="308"/>
      <c r="F214" s="308"/>
      <c r="G214" s="308"/>
      <c r="H214" s="308"/>
      <c r="I214" s="308"/>
      <c r="J214" s="308"/>
      <c r="K214" s="308"/>
      <c r="L214" s="308"/>
      <c r="M214" s="308"/>
      <c r="N214" s="308"/>
      <c r="O214" s="308"/>
      <c r="P214" s="308"/>
      <c r="Q214" s="308"/>
      <c r="R214" s="308"/>
      <c r="S214" s="308"/>
      <c r="T214" s="308"/>
      <c r="U214" s="244">
        <f t="shared" si="3"/>
        <v>0</v>
      </c>
    </row>
    <row r="215" spans="1:21" hidden="1" x14ac:dyDescent="0.3">
      <c r="A215" s="306"/>
      <c r="B215" s="306" t="s">
        <v>2622</v>
      </c>
      <c r="C215" s="307"/>
      <c r="D215" s="308"/>
      <c r="E215" s="308"/>
      <c r="F215" s="308"/>
      <c r="G215" s="308"/>
      <c r="H215" s="308">
        <v>77441011.234401464</v>
      </c>
      <c r="I215" s="308"/>
      <c r="J215" s="308"/>
      <c r="K215" s="308"/>
      <c r="L215" s="308"/>
      <c r="M215" s="308"/>
      <c r="N215" s="308"/>
      <c r="O215" s="308"/>
      <c r="P215" s="308"/>
      <c r="Q215" s="308"/>
      <c r="R215" s="308"/>
      <c r="S215" s="308"/>
      <c r="T215" s="308"/>
      <c r="U215" s="244">
        <f t="shared" si="3"/>
        <v>77441011.234401464</v>
      </c>
    </row>
    <row r="216" spans="1:21" hidden="1" x14ac:dyDescent="0.3">
      <c r="A216" s="306"/>
      <c r="B216" s="306" t="s">
        <v>2620</v>
      </c>
      <c r="C216" s="307">
        <v>0</v>
      </c>
      <c r="D216" s="308">
        <v>0</v>
      </c>
      <c r="E216" s="308">
        <v>0</v>
      </c>
      <c r="F216" s="308"/>
      <c r="G216" s="308"/>
      <c r="H216" s="308"/>
      <c r="I216" s="308"/>
      <c r="J216" s="308"/>
      <c r="K216" s="308"/>
      <c r="L216" s="308"/>
      <c r="M216" s="308"/>
      <c r="N216" s="308"/>
      <c r="O216" s="308"/>
      <c r="P216" s="308"/>
      <c r="Q216" s="308"/>
      <c r="R216" s="308"/>
      <c r="S216" s="308"/>
      <c r="T216" s="308"/>
      <c r="U216" s="244">
        <f t="shared" si="3"/>
        <v>0</v>
      </c>
    </row>
    <row r="217" spans="1:21" hidden="1" x14ac:dyDescent="0.3">
      <c r="A217" s="306"/>
      <c r="B217" s="306" t="s">
        <v>2</v>
      </c>
      <c r="C217" s="307">
        <v>11077459</v>
      </c>
      <c r="D217" s="308">
        <v>4658327</v>
      </c>
      <c r="E217" s="308">
        <v>38702559</v>
      </c>
      <c r="F217" s="308">
        <v>20994774</v>
      </c>
      <c r="G217" s="308">
        <v>5527376</v>
      </c>
      <c r="H217" s="308">
        <v>-6595454</v>
      </c>
      <c r="I217" s="308"/>
      <c r="J217" s="308"/>
      <c r="K217" s="308"/>
      <c r="L217" s="308">
        <v>0</v>
      </c>
      <c r="M217" s="308"/>
      <c r="N217" s="308"/>
      <c r="O217" s="308"/>
      <c r="P217" s="308"/>
      <c r="Q217" s="308"/>
      <c r="R217" s="308"/>
      <c r="S217" s="308"/>
      <c r="T217" s="308"/>
      <c r="U217" s="244">
        <f t="shared" si="3"/>
        <v>74365041</v>
      </c>
    </row>
    <row r="218" spans="1:21" hidden="1" x14ac:dyDescent="0.3">
      <c r="A218" s="306"/>
      <c r="B218" s="306" t="s">
        <v>2661</v>
      </c>
      <c r="C218" s="307">
        <v>959299</v>
      </c>
      <c r="D218" s="308">
        <v>30449753</v>
      </c>
      <c r="E218" s="308">
        <v>-36153757.190780878</v>
      </c>
      <c r="F218" s="308"/>
      <c r="G218" s="308">
        <v>-5527376</v>
      </c>
      <c r="H218" s="308">
        <v>10272081.190780882</v>
      </c>
      <c r="I218" s="308"/>
      <c r="J218" s="308"/>
      <c r="K218" s="308"/>
      <c r="L218" s="308"/>
      <c r="M218" s="308"/>
      <c r="N218" s="308"/>
      <c r="O218" s="308"/>
      <c r="P218" s="308"/>
      <c r="Q218" s="308"/>
      <c r="R218" s="308"/>
      <c r="S218" s="308"/>
      <c r="T218" s="308"/>
      <c r="U218" s="244">
        <f t="shared" si="3"/>
        <v>0</v>
      </c>
    </row>
    <row r="219" spans="1:21" hidden="1" x14ac:dyDescent="0.3">
      <c r="A219" s="306"/>
      <c r="B219" s="306" t="s">
        <v>2805</v>
      </c>
      <c r="C219" s="307"/>
      <c r="D219" s="308"/>
      <c r="E219" s="308"/>
      <c r="F219" s="308"/>
      <c r="G219" s="308"/>
      <c r="H219" s="308"/>
      <c r="I219" s="308"/>
      <c r="J219" s="308"/>
      <c r="K219" s="308"/>
      <c r="L219" s="308"/>
      <c r="M219" s="308"/>
      <c r="N219" s="308"/>
      <c r="O219" s="308"/>
      <c r="P219" s="308"/>
      <c r="Q219" s="308"/>
      <c r="R219" s="308"/>
      <c r="S219" s="308"/>
      <c r="T219" s="308"/>
      <c r="U219" s="244">
        <f t="shared" si="3"/>
        <v>0</v>
      </c>
    </row>
    <row r="220" spans="1:21" hidden="1" x14ac:dyDescent="0.3">
      <c r="A220" s="306"/>
      <c r="B220" s="306" t="s">
        <v>2669</v>
      </c>
      <c r="C220" s="307">
        <v>0</v>
      </c>
      <c r="D220" s="308">
        <v>0</v>
      </c>
      <c r="E220" s="308">
        <v>0</v>
      </c>
      <c r="F220" s="308">
        <v>0</v>
      </c>
      <c r="G220" s="308">
        <v>0</v>
      </c>
      <c r="H220" s="308">
        <v>0</v>
      </c>
      <c r="I220" s="308">
        <v>0</v>
      </c>
      <c r="J220" s="308">
        <v>0</v>
      </c>
      <c r="K220" s="308">
        <v>0</v>
      </c>
      <c r="L220" s="308">
        <v>0</v>
      </c>
      <c r="M220" s="308">
        <v>0</v>
      </c>
      <c r="N220" s="308">
        <v>0</v>
      </c>
      <c r="O220" s="308">
        <v>0</v>
      </c>
      <c r="P220" s="308">
        <v>0</v>
      </c>
      <c r="Q220" s="308">
        <v>0</v>
      </c>
      <c r="R220" s="308">
        <v>0</v>
      </c>
      <c r="S220" s="308"/>
      <c r="T220" s="308"/>
      <c r="U220" s="244">
        <f t="shared" si="3"/>
        <v>0</v>
      </c>
    </row>
    <row r="221" spans="1:21" hidden="1" x14ac:dyDescent="0.3">
      <c r="A221" s="306"/>
      <c r="B221" s="306" t="s">
        <v>2617</v>
      </c>
      <c r="C221" s="307">
        <v>79456200.487829655</v>
      </c>
      <c r="D221" s="308">
        <v>127527433.0873538</v>
      </c>
      <c r="E221" s="308">
        <v>254819084.4446238</v>
      </c>
      <c r="F221" s="308">
        <v>29321610.175268576</v>
      </c>
      <c r="G221" s="308">
        <v>-5527376</v>
      </c>
      <c r="H221" s="308">
        <v>202839169.72083342</v>
      </c>
      <c r="I221" s="308">
        <v>-6694998</v>
      </c>
      <c r="J221" s="308">
        <v>79480049.606689543</v>
      </c>
      <c r="K221" s="308">
        <v>0</v>
      </c>
      <c r="L221" s="308">
        <v>2091580.2528076195</v>
      </c>
      <c r="M221" s="308">
        <v>0</v>
      </c>
      <c r="N221" s="308">
        <v>0</v>
      </c>
      <c r="O221" s="308">
        <v>0</v>
      </c>
      <c r="P221" s="308">
        <v>0</v>
      </c>
      <c r="Q221" s="308">
        <v>0</v>
      </c>
      <c r="R221" s="308">
        <v>0</v>
      </c>
      <c r="S221" s="308"/>
      <c r="T221" s="308"/>
      <c r="U221" s="244">
        <f t="shared" si="3"/>
        <v>763312753.77540648</v>
      </c>
    </row>
    <row r="222" spans="1:21" hidden="1" x14ac:dyDescent="0.3">
      <c r="A222" s="306"/>
      <c r="B222" s="306" t="s">
        <v>2618</v>
      </c>
      <c r="C222" s="307"/>
      <c r="D222" s="308"/>
      <c r="E222" s="308"/>
      <c r="F222" s="308"/>
      <c r="G222" s="308"/>
      <c r="H222" s="308"/>
      <c r="I222" s="308"/>
      <c r="J222" s="308"/>
      <c r="K222" s="308"/>
      <c r="L222" s="308"/>
      <c r="M222" s="308"/>
      <c r="N222" s="308"/>
      <c r="O222" s="308"/>
      <c r="P222" s="308"/>
      <c r="Q222" s="308"/>
      <c r="R222" s="308"/>
      <c r="S222" s="308"/>
      <c r="T222" s="308"/>
      <c r="U222" s="244">
        <f t="shared" si="3"/>
        <v>0</v>
      </c>
    </row>
    <row r="223" spans="1:21" hidden="1" x14ac:dyDescent="0.3">
      <c r="A223" s="306"/>
      <c r="B223" s="306" t="s">
        <v>2665</v>
      </c>
      <c r="C223" s="307"/>
      <c r="D223" s="308"/>
      <c r="E223" s="308"/>
      <c r="F223" s="308"/>
      <c r="G223" s="308"/>
      <c r="H223" s="308">
        <v>3676627.1907808813</v>
      </c>
      <c r="I223" s="308"/>
      <c r="J223" s="308"/>
      <c r="K223" s="308"/>
      <c r="L223" s="308"/>
      <c r="M223" s="308"/>
      <c r="N223" s="308"/>
      <c r="O223" s="308"/>
      <c r="P223" s="308"/>
      <c r="Q223" s="308"/>
      <c r="R223" s="308"/>
      <c r="S223" s="308"/>
      <c r="T223" s="308"/>
      <c r="U223" s="244">
        <f t="shared" si="3"/>
        <v>3676627.1907808813</v>
      </c>
    </row>
    <row r="224" spans="1:21" hidden="1" x14ac:dyDescent="0.3">
      <c r="A224" s="306"/>
      <c r="B224" s="306" t="s">
        <v>2752</v>
      </c>
      <c r="C224" s="307">
        <v>308000</v>
      </c>
      <c r="D224" s="308">
        <v>0</v>
      </c>
      <c r="E224" s="308">
        <v>0</v>
      </c>
      <c r="F224" s="308"/>
      <c r="G224" s="308"/>
      <c r="H224" s="308"/>
      <c r="I224" s="308"/>
      <c r="J224" s="308"/>
      <c r="K224" s="308"/>
      <c r="L224" s="308"/>
      <c r="M224" s="308"/>
      <c r="N224" s="308"/>
      <c r="O224" s="308"/>
      <c r="P224" s="308"/>
      <c r="Q224" s="308"/>
      <c r="R224" s="308"/>
      <c r="S224" s="308"/>
      <c r="T224" s="308"/>
      <c r="U224" s="244">
        <f t="shared" si="3"/>
        <v>308000</v>
      </c>
    </row>
    <row r="225" spans="1:21" hidden="1" x14ac:dyDescent="0.3">
      <c r="A225" s="306"/>
      <c r="B225" s="306" t="s">
        <v>114</v>
      </c>
      <c r="C225" s="307">
        <v>503419031.67318797</v>
      </c>
      <c r="D225" s="308">
        <v>564066450.54162371</v>
      </c>
      <c r="E225" s="308">
        <v>674074525.92254746</v>
      </c>
      <c r="F225" s="308">
        <v>95936432.082114279</v>
      </c>
      <c r="G225" s="308">
        <v>11054752</v>
      </c>
      <c r="H225" s="308">
        <v>633725993.5499953</v>
      </c>
      <c r="I225" s="308">
        <v>-66949980</v>
      </c>
      <c r="J225" s="308">
        <v>788800450.89351642</v>
      </c>
      <c r="K225" s="308">
        <v>149535600</v>
      </c>
      <c r="L225" s="308">
        <v>20757906.602460954</v>
      </c>
      <c r="M225" s="308">
        <v>0</v>
      </c>
      <c r="N225" s="308">
        <v>141671624.06577882</v>
      </c>
      <c r="O225" s="308">
        <v>-91048216.459979042</v>
      </c>
      <c r="P225" s="308">
        <v>-1086833983.4802203</v>
      </c>
      <c r="Q225" s="308">
        <v>0</v>
      </c>
      <c r="R225" s="308">
        <v>-2333665.991128413</v>
      </c>
      <c r="S225" s="308">
        <v>244087128.71287104</v>
      </c>
      <c r="T225" s="308">
        <v>183607316.69996342</v>
      </c>
      <c r="U225" s="244">
        <f t="shared" si="3"/>
        <v>2763571366.8127317</v>
      </c>
    </row>
    <row r="226" spans="1:21" hidden="1" x14ac:dyDescent="0.3">
      <c r="A226" s="306"/>
      <c r="B226" s="306" t="s">
        <v>2948</v>
      </c>
      <c r="C226" s="307">
        <v>959299</v>
      </c>
      <c r="D226" s="308"/>
      <c r="E226" s="308"/>
      <c r="F226" s="308"/>
      <c r="G226" s="308">
        <v>-959299</v>
      </c>
      <c r="H226" s="308"/>
      <c r="I226" s="308"/>
      <c r="J226" s="308"/>
      <c r="K226" s="308"/>
      <c r="L226" s="308"/>
      <c r="M226" s="308"/>
      <c r="N226" s="308"/>
      <c r="O226" s="308"/>
      <c r="P226" s="308"/>
      <c r="Q226" s="308"/>
      <c r="R226" s="308"/>
      <c r="S226" s="308"/>
      <c r="T226" s="308"/>
      <c r="U226" s="244">
        <f t="shared" si="3"/>
        <v>0</v>
      </c>
    </row>
    <row r="227" spans="1:21" hidden="1" x14ac:dyDescent="0.3">
      <c r="A227" s="306"/>
      <c r="B227" s="306" t="s">
        <v>2949</v>
      </c>
      <c r="C227" s="307"/>
      <c r="D227" s="308">
        <v>30449753</v>
      </c>
      <c r="E227" s="308">
        <v>-30449753</v>
      </c>
      <c r="F227" s="308"/>
      <c r="G227" s="308"/>
      <c r="H227" s="308"/>
      <c r="I227" s="308"/>
      <c r="J227" s="308"/>
      <c r="K227" s="308"/>
      <c r="L227" s="308"/>
      <c r="M227" s="308"/>
      <c r="N227" s="308"/>
      <c r="O227" s="308"/>
      <c r="P227" s="308"/>
      <c r="Q227" s="308"/>
      <c r="R227" s="308"/>
      <c r="S227" s="308"/>
      <c r="T227" s="308"/>
      <c r="U227" s="244">
        <f t="shared" si="3"/>
        <v>0</v>
      </c>
    </row>
    <row r="228" spans="1:21" hidden="1" x14ac:dyDescent="0.3">
      <c r="A228" s="306"/>
      <c r="B228" s="306" t="s">
        <v>2950</v>
      </c>
      <c r="C228" s="307"/>
      <c r="D228" s="308"/>
      <c r="E228" s="308">
        <v>4568077</v>
      </c>
      <c r="F228" s="308"/>
      <c r="G228" s="308">
        <v>-4568077</v>
      </c>
      <c r="H228" s="308"/>
      <c r="I228" s="308"/>
      <c r="J228" s="308"/>
      <c r="K228" s="308"/>
      <c r="L228" s="308"/>
      <c r="M228" s="308"/>
      <c r="N228" s="308"/>
      <c r="O228" s="308"/>
      <c r="P228" s="308"/>
      <c r="Q228" s="308"/>
      <c r="R228" s="308"/>
      <c r="S228" s="308"/>
      <c r="T228" s="308"/>
      <c r="U228" s="244">
        <f t="shared" si="3"/>
        <v>0</v>
      </c>
    </row>
    <row r="229" spans="1:21" hidden="1" x14ac:dyDescent="0.3">
      <c r="A229" s="306"/>
      <c r="B229" s="306" t="s">
        <v>3122</v>
      </c>
      <c r="C229" s="307"/>
      <c r="D229" s="308"/>
      <c r="E229" s="308">
        <v>-6595454</v>
      </c>
      <c r="F229" s="308"/>
      <c r="G229" s="308"/>
      <c r="H229" s="308">
        <v>6595454</v>
      </c>
      <c r="I229" s="308"/>
      <c r="J229" s="308"/>
      <c r="K229" s="308"/>
      <c r="L229" s="308"/>
      <c r="M229" s="308"/>
      <c r="N229" s="308"/>
      <c r="O229" s="308"/>
      <c r="P229" s="308"/>
      <c r="Q229" s="308"/>
      <c r="R229" s="308"/>
      <c r="S229" s="308"/>
      <c r="T229" s="308"/>
      <c r="U229" s="245">
        <f t="shared" si="3"/>
        <v>0</v>
      </c>
    </row>
    <row r="230" spans="1:21" hidden="1" x14ac:dyDescent="0.3">
      <c r="A230" s="306">
        <v>158</v>
      </c>
      <c r="B230" s="306" t="s">
        <v>380</v>
      </c>
      <c r="C230" s="307"/>
      <c r="D230" s="308"/>
      <c r="E230" s="308"/>
      <c r="F230" s="308"/>
      <c r="G230" s="308"/>
      <c r="H230" s="308"/>
      <c r="I230" s="308"/>
      <c r="J230" s="308"/>
      <c r="K230" s="308"/>
      <c r="L230" s="308"/>
      <c r="M230" s="308"/>
      <c r="N230" s="308"/>
      <c r="O230" s="308"/>
      <c r="P230" s="308"/>
      <c r="Q230" s="308"/>
      <c r="R230" s="308"/>
      <c r="S230" s="308"/>
      <c r="T230" s="308"/>
    </row>
    <row r="231" spans="1:21" hidden="1" x14ac:dyDescent="0.3">
      <c r="A231" s="306">
        <v>203</v>
      </c>
      <c r="B231" s="306" t="s">
        <v>456</v>
      </c>
      <c r="C231" s="307"/>
      <c r="D231" s="308"/>
      <c r="E231" s="308"/>
      <c r="F231" s="308"/>
      <c r="G231" s="308"/>
      <c r="H231" s="308"/>
      <c r="I231" s="308"/>
      <c r="J231" s="308"/>
      <c r="K231" s="308"/>
      <c r="L231" s="308"/>
      <c r="M231" s="308"/>
      <c r="N231" s="308"/>
      <c r="O231" s="308"/>
      <c r="P231" s="308"/>
      <c r="Q231" s="308"/>
      <c r="R231" s="308"/>
      <c r="S231" s="308"/>
      <c r="T231" s="308"/>
    </row>
    <row r="232" spans="1:21" hidden="1" x14ac:dyDescent="0.3">
      <c r="A232" s="306">
        <v>210</v>
      </c>
      <c r="B232" s="306" t="s">
        <v>468</v>
      </c>
      <c r="C232" s="307"/>
      <c r="D232" s="308"/>
      <c r="E232" s="308"/>
      <c r="F232" s="308"/>
      <c r="G232" s="308"/>
      <c r="H232" s="308"/>
      <c r="I232" s="308"/>
      <c r="J232" s="308"/>
      <c r="K232" s="308"/>
      <c r="L232" s="308"/>
      <c r="M232" s="308"/>
      <c r="N232" s="308"/>
      <c r="O232" s="308"/>
      <c r="P232" s="308"/>
      <c r="Q232" s="308"/>
      <c r="R232" s="308"/>
      <c r="S232" s="308"/>
      <c r="T232" s="308"/>
    </row>
    <row r="233" spans="1:21" hidden="1" x14ac:dyDescent="0.3">
      <c r="A233" s="306" t="s">
        <v>745</v>
      </c>
      <c r="B233" s="306"/>
      <c r="C233" s="307">
        <v>1033887942.5281674</v>
      </c>
      <c r="D233" s="308">
        <v>1317485850.3467577</v>
      </c>
      <c r="E233" s="308">
        <v>1055992177.7607427</v>
      </c>
      <c r="F233" s="308">
        <v>225890810.60791999</v>
      </c>
      <c r="G233" s="308">
        <v>-5.5879354476928711E-9</v>
      </c>
      <c r="H233" s="308">
        <v>1351753698.6977518</v>
      </c>
      <c r="I233" s="308">
        <v>-93729972</v>
      </c>
      <c r="J233" s="308">
        <v>1106720649.3202746</v>
      </c>
      <c r="K233" s="308">
        <v>194396280</v>
      </c>
      <c r="L233" s="308">
        <v>29124227.613691434</v>
      </c>
      <c r="M233" s="308">
        <v>0</v>
      </c>
      <c r="N233" s="308">
        <v>184173111.28551245</v>
      </c>
      <c r="O233" s="308">
        <v>-127467503.04397066</v>
      </c>
      <c r="P233" s="308">
        <v>-1521567576.8723085</v>
      </c>
      <c r="Q233" s="308">
        <v>0</v>
      </c>
      <c r="R233" s="308">
        <v>-3267132.3875797782</v>
      </c>
      <c r="S233" s="308">
        <v>317313267.32673234</v>
      </c>
      <c r="T233" s="308">
        <v>262296166.71423346</v>
      </c>
    </row>
    <row r="241" spans="1:2" x14ac:dyDescent="0.3">
      <c r="A241" s="247">
        <v>240</v>
      </c>
      <c r="B241" s="247" t="s">
        <v>522</v>
      </c>
    </row>
    <row r="242" spans="1:2" x14ac:dyDescent="0.3">
      <c r="A242" s="247">
        <v>250</v>
      </c>
      <c r="B242" s="247" t="s">
        <v>535</v>
      </c>
    </row>
    <row r="243" spans="1:2" x14ac:dyDescent="0.3">
      <c r="A243" s="247">
        <v>255</v>
      </c>
      <c r="B243" s="247" t="s">
        <v>543</v>
      </c>
    </row>
    <row r="244" spans="1:2" x14ac:dyDescent="0.3">
      <c r="A244" s="247">
        <v>286</v>
      </c>
      <c r="B244" s="247" t="s">
        <v>591</v>
      </c>
    </row>
    <row r="245" spans="1:2" x14ac:dyDescent="0.3">
      <c r="A245" s="247">
        <v>294</v>
      </c>
      <c r="B245" s="247" t="s">
        <v>604</v>
      </c>
    </row>
    <row r="246" spans="1:2" x14ac:dyDescent="0.3">
      <c r="A246" s="247">
        <v>301</v>
      </c>
      <c r="B246" s="247" t="s">
        <v>617</v>
      </c>
    </row>
    <row r="247" spans="1:2" x14ac:dyDescent="0.3">
      <c r="A247" s="247">
        <v>320</v>
      </c>
      <c r="B247" s="247" t="s">
        <v>655</v>
      </c>
    </row>
    <row r="248" spans="1:2" x14ac:dyDescent="0.3">
      <c r="A248" s="247">
        <v>322</v>
      </c>
      <c r="B248" s="247" t="s">
        <v>659</v>
      </c>
    </row>
    <row r="249" spans="1:2" x14ac:dyDescent="0.3">
      <c r="A249" s="247">
        <v>333</v>
      </c>
      <c r="B249" s="247" t="s">
        <v>680</v>
      </c>
    </row>
    <row r="250" spans="1:2" x14ac:dyDescent="0.3">
      <c r="A250" s="247">
        <v>343</v>
      </c>
      <c r="B250" s="247" t="s">
        <v>696</v>
      </c>
    </row>
    <row r="251" spans="1:2" x14ac:dyDescent="0.3">
      <c r="A251" s="247">
        <v>349</v>
      </c>
      <c r="B251" s="247" t="s">
        <v>706</v>
      </c>
    </row>
  </sheetData>
  <autoFilter ref="A6:U233">
    <filterColumn colId="0">
      <filters>
        <filter val="288"/>
        <filter val="350"/>
      </filters>
    </filterColumn>
  </autoFilter>
  <sortState ref="A241:B251">
    <sortCondition ref="A241"/>
  </sortState>
  <pageMargins left="0.7" right="0.7" top="0.75" bottom="0.75" header="0.3" footer="0.3"/>
  <pageSetup paperSize="9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"/>
  <sheetViews>
    <sheetView zoomScale="85" zoomScaleNormal="85" workbookViewId="0">
      <selection activeCell="B25" sqref="B25"/>
    </sheetView>
  </sheetViews>
  <sheetFormatPr defaultColWidth="8.88671875" defaultRowHeight="14.4" x14ac:dyDescent="0.3"/>
  <cols>
    <col min="1" max="1" width="8.88671875" style="116"/>
    <col min="2" max="2" width="36" style="116" customWidth="1"/>
    <col min="3" max="3" width="15.44140625" style="116" customWidth="1"/>
    <col min="4" max="4" width="18.88671875" style="116" customWidth="1"/>
    <col min="5" max="5" width="15.44140625" style="116" customWidth="1"/>
    <col min="6" max="6" width="14.88671875" style="116" customWidth="1"/>
    <col min="7" max="7" width="16" style="116" customWidth="1"/>
    <col min="8" max="8" width="15.44140625" style="116" customWidth="1"/>
    <col min="9" max="9" width="15.21875" style="116" customWidth="1"/>
    <col min="10" max="10" width="19.88671875" style="116" customWidth="1"/>
    <col min="11" max="11" width="12.88671875" style="116" customWidth="1"/>
    <col min="12" max="16384" width="8.88671875" style="116"/>
  </cols>
  <sheetData>
    <row r="1" spans="1:15" ht="39.75" customHeight="1" x14ac:dyDescent="0.3">
      <c r="A1" s="364"/>
      <c r="B1" s="19" t="s">
        <v>3</v>
      </c>
      <c r="C1" s="19" t="s">
        <v>784</v>
      </c>
      <c r="D1" s="19" t="s">
        <v>14</v>
      </c>
      <c r="E1" s="19" t="s">
        <v>3647</v>
      </c>
      <c r="F1" s="19" t="s">
        <v>3746</v>
      </c>
      <c r="G1" s="19" t="s">
        <v>3747</v>
      </c>
      <c r="H1" s="19" t="s">
        <v>3289</v>
      </c>
      <c r="I1" s="19" t="s">
        <v>3749</v>
      </c>
      <c r="J1" s="19" t="s">
        <v>15</v>
      </c>
      <c r="K1" s="240" t="s">
        <v>2919</v>
      </c>
    </row>
    <row r="2" spans="1:15" ht="26.4" customHeight="1" x14ac:dyDescent="0.3">
      <c r="A2" s="364" t="s">
        <v>39</v>
      </c>
      <c r="B2" s="129" t="s">
        <v>3786</v>
      </c>
      <c r="C2" s="618">
        <v>566164654.20547938</v>
      </c>
      <c r="D2" s="618">
        <v>211027724</v>
      </c>
      <c r="E2" s="619">
        <v>241735560.17534247</v>
      </c>
      <c r="F2" s="126">
        <v>303144574.22465754</v>
      </c>
      <c r="G2" s="126">
        <v>87133822.12602739</v>
      </c>
      <c r="H2" s="619">
        <v>57922002</v>
      </c>
      <c r="I2" s="619">
        <v>4585851</v>
      </c>
      <c r="J2" s="620">
        <v>1467128336.7315066</v>
      </c>
      <c r="K2" s="606" t="e">
        <f>C2-VLOOKUP(A2,'1 kari főtábla'!$A$208:$I$494,9,0)</f>
        <v>#N/A</v>
      </c>
    </row>
    <row r="3" spans="1:15" ht="26.4" customHeight="1" x14ac:dyDescent="0.3">
      <c r="A3" s="364" t="s">
        <v>40</v>
      </c>
      <c r="B3" s="129" t="s">
        <v>3787</v>
      </c>
      <c r="C3" s="618">
        <v>78743054</v>
      </c>
      <c r="D3" s="618"/>
      <c r="E3" s="618"/>
      <c r="F3" s="618"/>
      <c r="G3" s="618"/>
      <c r="H3" s="618">
        <v>0</v>
      </c>
      <c r="I3" s="618">
        <v>0</v>
      </c>
      <c r="J3" s="620">
        <v>78743054</v>
      </c>
      <c r="K3" s="606" t="e">
        <f>C3-VLOOKUP(A3,'1 kari főtábla'!$A$208:$I$494,9,0)</f>
        <v>#N/A</v>
      </c>
      <c r="L3" s="606"/>
      <c r="M3" s="606"/>
      <c r="N3" s="606"/>
      <c r="O3" s="606"/>
    </row>
    <row r="4" spans="1:15" ht="26.4" customHeight="1" x14ac:dyDescent="0.3">
      <c r="A4" s="625" t="s">
        <v>3792</v>
      </c>
      <c r="B4" s="624" t="s">
        <v>2735</v>
      </c>
      <c r="C4" s="618">
        <f>+C2+C3</f>
        <v>644907708.20547938</v>
      </c>
      <c r="D4" s="618">
        <f>+D2+D3</f>
        <v>211027724</v>
      </c>
      <c r="E4" s="619">
        <f t="shared" ref="E4:J4" si="0">+E2+E3</f>
        <v>241735560.17534247</v>
      </c>
      <c r="F4" s="126">
        <f t="shared" si="0"/>
        <v>303144574.22465754</v>
      </c>
      <c r="G4" s="126">
        <f t="shared" si="0"/>
        <v>87133822.12602739</v>
      </c>
      <c r="H4" s="619">
        <f t="shared" si="0"/>
        <v>57922002</v>
      </c>
      <c r="I4" s="619">
        <f t="shared" si="0"/>
        <v>4585851</v>
      </c>
      <c r="J4" s="620">
        <f t="shared" si="0"/>
        <v>1545871390.7315066</v>
      </c>
      <c r="K4" s="606">
        <f>C4-VLOOKUP(A4,'1 kari főtábla'!$A$208:$I$494,9,0)</f>
        <v>0</v>
      </c>
      <c r="L4" s="606"/>
      <c r="M4" s="606"/>
      <c r="N4" s="606"/>
      <c r="O4" s="606"/>
    </row>
    <row r="5" spans="1:15" ht="26.4" customHeight="1" x14ac:dyDescent="0.3">
      <c r="A5" s="364" t="s">
        <v>42</v>
      </c>
      <c r="B5" s="19" t="s">
        <v>53</v>
      </c>
      <c r="C5" s="126"/>
      <c r="D5" s="564"/>
      <c r="E5" s="564"/>
      <c r="F5" s="564"/>
      <c r="G5" s="564"/>
      <c r="H5" s="564"/>
      <c r="I5" s="564"/>
      <c r="J5" s="620">
        <v>0</v>
      </c>
      <c r="K5" s="606" t="e">
        <f>C5-VLOOKUP(A5,'1 kari főtábla'!$A$208:$I$494,9,0)</f>
        <v>#N/A</v>
      </c>
      <c r="L5" s="606"/>
      <c r="M5" s="606"/>
      <c r="N5" s="606"/>
      <c r="O5" s="606"/>
    </row>
    <row r="6" spans="1:15" ht="26.4" customHeight="1" x14ac:dyDescent="0.3">
      <c r="A6" s="364" t="s">
        <v>43</v>
      </c>
      <c r="B6" s="19" t="s">
        <v>2682</v>
      </c>
      <c r="C6" s="618">
        <v>163088111</v>
      </c>
      <c r="D6" s="618">
        <v>175318825</v>
      </c>
      <c r="E6" s="618">
        <v>54681357</v>
      </c>
      <c r="F6" s="618">
        <v>120998039</v>
      </c>
      <c r="G6" s="618">
        <v>10730744</v>
      </c>
      <c r="H6" s="618"/>
      <c r="I6" s="618"/>
      <c r="J6" s="620">
        <v>524817076</v>
      </c>
      <c r="K6" s="606">
        <f>C6-VLOOKUP(A6,'1 kari főtábla'!$A$208:$I$494,9,0)</f>
        <v>-26813048.673279166</v>
      </c>
      <c r="L6" s="606"/>
      <c r="M6" s="606"/>
      <c r="N6" s="606"/>
      <c r="O6" s="606"/>
    </row>
    <row r="7" spans="1:15" ht="26.4" customHeight="1" x14ac:dyDescent="0.3">
      <c r="A7" s="364"/>
      <c r="B7" s="19"/>
      <c r="C7" s="619"/>
      <c r="D7" s="619"/>
      <c r="E7" s="619"/>
      <c r="F7" s="619"/>
      <c r="G7" s="619"/>
      <c r="H7" s="619"/>
      <c r="I7" s="619"/>
      <c r="J7" s="620"/>
      <c r="K7" s="606" t="e">
        <f>C7-VLOOKUP(A7,'1 kari főtábla'!$A$208:$I$494,9,0)</f>
        <v>#N/A</v>
      </c>
    </row>
    <row r="8" spans="1:15" ht="26.4" customHeight="1" x14ac:dyDescent="0.3">
      <c r="A8" s="364" t="s">
        <v>44</v>
      </c>
      <c r="B8" s="19" t="s">
        <v>55</v>
      </c>
      <c r="C8" s="126"/>
      <c r="D8" s="126"/>
      <c r="E8" s="126"/>
      <c r="F8" s="126"/>
      <c r="G8" s="126"/>
      <c r="H8" s="564"/>
      <c r="I8" s="564"/>
      <c r="J8" s="620">
        <v>0</v>
      </c>
      <c r="K8" s="606" t="e">
        <f>C8-VLOOKUP(A8,'1 kari főtábla'!$A$208:$I$494,9,0)</f>
        <v>#N/A</v>
      </c>
    </row>
    <row r="9" spans="1:15" ht="26.4" customHeight="1" x14ac:dyDescent="0.3">
      <c r="A9" s="364" t="s">
        <v>45</v>
      </c>
      <c r="B9" s="19" t="s">
        <v>3788</v>
      </c>
      <c r="C9" s="619">
        <v>0</v>
      </c>
      <c r="D9" s="619">
        <v>0</v>
      </c>
      <c r="E9" s="619">
        <v>0</v>
      </c>
      <c r="F9" s="619">
        <v>0</v>
      </c>
      <c r="G9" s="619">
        <v>0</v>
      </c>
      <c r="H9" s="79">
        <v>0</v>
      </c>
      <c r="I9" s="79"/>
      <c r="J9" s="620">
        <v>0</v>
      </c>
      <c r="K9" s="606">
        <f>C9-VLOOKUP(A9,'1 kari főtábla'!$A$208:$I$494,9,0)</f>
        <v>0</v>
      </c>
    </row>
    <row r="10" spans="1:15" ht="26.4" customHeight="1" x14ac:dyDescent="0.3">
      <c r="A10" s="364" t="s">
        <v>46</v>
      </c>
      <c r="B10" s="19" t="s">
        <v>3789</v>
      </c>
      <c r="C10" s="126"/>
      <c r="D10" s="126">
        <v>494004</v>
      </c>
      <c r="E10" s="126">
        <v>49784</v>
      </c>
      <c r="F10" s="126">
        <v>172631</v>
      </c>
      <c r="G10" s="126">
        <v>276915</v>
      </c>
      <c r="H10" s="621"/>
      <c r="I10" s="621"/>
      <c r="J10" s="620">
        <v>993334</v>
      </c>
      <c r="K10" s="606">
        <f>C10-VLOOKUP(A10,'1 kari főtábla'!$A$208:$I$494,9,0)</f>
        <v>0</v>
      </c>
    </row>
    <row r="11" spans="1:15" ht="26.4" customHeight="1" x14ac:dyDescent="0.3">
      <c r="A11" s="364" t="s">
        <v>47</v>
      </c>
      <c r="B11" s="19" t="s">
        <v>3790</v>
      </c>
      <c r="C11" s="126">
        <v>17179456.581818178</v>
      </c>
      <c r="D11" s="619">
        <v>94532639</v>
      </c>
      <c r="E11" s="126">
        <v>17092515</v>
      </c>
      <c r="F11" s="126">
        <v>19299270</v>
      </c>
      <c r="G11" s="126">
        <v>140831</v>
      </c>
      <c r="H11" s="619">
        <v>2620000</v>
      </c>
      <c r="I11" s="619">
        <v>228914</v>
      </c>
      <c r="J11" s="620">
        <v>151093625.58181816</v>
      </c>
      <c r="K11" s="606">
        <f>C11-VLOOKUP(A11,'1 kari főtábla'!$A$208:$I$494,9,0)</f>
        <v>3957294.5818181783</v>
      </c>
    </row>
    <row r="12" spans="1:15" ht="26.4" customHeight="1" x14ac:dyDescent="0.3">
      <c r="A12" s="364" t="s">
        <v>48</v>
      </c>
      <c r="B12" s="19" t="s">
        <v>3256</v>
      </c>
      <c r="C12" s="564"/>
      <c r="D12" s="564"/>
      <c r="E12" s="564"/>
      <c r="F12" s="126">
        <v>308000</v>
      </c>
      <c r="G12" s="564"/>
      <c r="H12" s="564"/>
      <c r="I12" s="564"/>
      <c r="J12" s="620">
        <v>308000</v>
      </c>
      <c r="K12" s="606">
        <f>C12-VLOOKUP(A12,'1 kari főtábla'!$A$208:$I$494,9,0)</f>
        <v>0</v>
      </c>
    </row>
    <row r="13" spans="1:15" ht="26.4" customHeight="1" x14ac:dyDescent="0.3">
      <c r="A13" s="364" t="s">
        <v>49</v>
      </c>
      <c r="B13" s="19"/>
      <c r="C13" s="126"/>
      <c r="D13" s="126"/>
      <c r="E13" s="126"/>
      <c r="F13" s="126"/>
      <c r="G13" s="126"/>
      <c r="H13" s="126"/>
      <c r="I13" s="126"/>
      <c r="J13" s="620">
        <v>0</v>
      </c>
      <c r="K13" s="606">
        <f>C13-VLOOKUP(A13,'1 kari főtábla'!$A$208:$I$494,9,0)</f>
        <v>0</v>
      </c>
    </row>
    <row r="14" spans="1:15" ht="26.4" customHeight="1" x14ac:dyDescent="0.3">
      <c r="A14" s="364" t="s">
        <v>50</v>
      </c>
      <c r="B14" s="19" t="s">
        <v>3791</v>
      </c>
      <c r="C14" s="126">
        <v>20886890.51005695</v>
      </c>
      <c r="D14" s="126">
        <v>0</v>
      </c>
      <c r="E14" s="126">
        <v>4756233.9513596594</v>
      </c>
      <c r="F14" s="126">
        <v>23675225.509054728</v>
      </c>
      <c r="G14" s="126">
        <v>4523044.4701675121</v>
      </c>
      <c r="H14" s="126">
        <v>0</v>
      </c>
      <c r="I14" s="126">
        <v>190242.23369869383</v>
      </c>
      <c r="J14" s="620">
        <v>53841394.440638848</v>
      </c>
      <c r="K14" s="606">
        <f>C14-VLOOKUP(A14,'1 kari főtábla'!$A$208:$I$494,9,0)</f>
        <v>8886891</v>
      </c>
    </row>
    <row r="15" spans="1:15" ht="26.4" customHeight="1" x14ac:dyDescent="0.3">
      <c r="A15" s="364" t="s">
        <v>51</v>
      </c>
      <c r="B15" s="19" t="s">
        <v>54</v>
      </c>
      <c r="C15" s="622">
        <v>0</v>
      </c>
      <c r="D15" s="126">
        <v>129819727</v>
      </c>
      <c r="E15" s="564"/>
      <c r="F15" s="564"/>
      <c r="G15" s="564"/>
      <c r="H15" s="564"/>
      <c r="I15" s="564"/>
      <c r="J15" s="620">
        <v>129819727</v>
      </c>
      <c r="K15" s="606">
        <f>C15-VLOOKUP(A15,'1 kari főtábla'!$A$208:$I$494,9,0)</f>
        <v>0</v>
      </c>
    </row>
    <row r="16" spans="1:15" x14ac:dyDescent="0.3">
      <c r="A16" s="364" t="s">
        <v>52</v>
      </c>
      <c r="B16" s="19" t="s">
        <v>36</v>
      </c>
      <c r="C16" s="623">
        <v>846062166.29735458</v>
      </c>
      <c r="D16" s="623">
        <v>611192919</v>
      </c>
      <c r="E16" s="623">
        <v>318315450.12670207</v>
      </c>
      <c r="F16" s="623">
        <v>467597739.73371226</v>
      </c>
      <c r="G16" s="623">
        <v>102805356.59619491</v>
      </c>
      <c r="H16" s="623">
        <v>60542002</v>
      </c>
      <c r="I16" s="623">
        <v>5005007.233698694</v>
      </c>
      <c r="J16" s="620">
        <v>2406515633.7539639</v>
      </c>
      <c r="K16" s="606" t="e">
        <f>C16-VLOOKUP(A16,'1 kari főtábla'!$A$208:$I$494,9,0)</f>
        <v>#N/A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E34"/>
  <sheetViews>
    <sheetView zoomScale="70" zoomScaleNormal="70"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AE30"/>
    </sheetView>
  </sheetViews>
  <sheetFormatPr defaultColWidth="8.88671875" defaultRowHeight="15.6" x14ac:dyDescent="0.3"/>
  <cols>
    <col min="1" max="1" width="11.33203125" style="5" bestFit="1" customWidth="1"/>
    <col min="2" max="2" width="62.44140625" style="237" customWidth="1"/>
    <col min="3" max="3" width="16.44140625" style="237" bestFit="1" customWidth="1"/>
    <col min="4" max="4" width="16.44140625" style="237" customWidth="1"/>
    <col min="5" max="6" width="15.44140625" style="237" customWidth="1"/>
    <col min="7" max="7" width="17.21875" style="238" customWidth="1"/>
    <col min="8" max="8" width="14.77734375" style="237" bestFit="1" customWidth="1"/>
    <col min="9" max="9" width="12.6640625" style="237" bestFit="1" customWidth="1"/>
    <col min="10" max="10" width="12" style="237" bestFit="1" customWidth="1"/>
    <col min="11" max="11" width="11.21875" style="237" bestFit="1" customWidth="1"/>
    <col min="12" max="12" width="12.44140625" style="237" bestFit="1" customWidth="1"/>
    <col min="13" max="13" width="11.109375" style="237" bestFit="1" customWidth="1"/>
    <col min="14" max="14" width="11.21875" style="237" bestFit="1" customWidth="1"/>
    <col min="15" max="15" width="12.6640625" style="237" bestFit="1" customWidth="1"/>
    <col min="16" max="16" width="9.77734375" style="237" bestFit="1" customWidth="1"/>
    <col min="17" max="17" width="10" style="237" hidden="1" customWidth="1"/>
    <col min="18" max="18" width="11.6640625" style="237" bestFit="1" customWidth="1"/>
    <col min="19" max="30" width="0" style="237" hidden="1" customWidth="1"/>
    <col min="31" max="31" width="12.21875" style="237" bestFit="1" customWidth="1"/>
    <col min="32" max="16384" width="8.88671875" style="237"/>
  </cols>
  <sheetData>
    <row r="1" spans="1:31" s="236" customFormat="1" ht="78" x14ac:dyDescent="0.3">
      <c r="A1" s="536" t="s">
        <v>3959</v>
      </c>
      <c r="B1" s="536" t="s">
        <v>1088</v>
      </c>
      <c r="C1" s="537" t="s">
        <v>3624</v>
      </c>
      <c r="D1" s="537" t="s">
        <v>3625</v>
      </c>
      <c r="E1" s="537" t="s">
        <v>3626</v>
      </c>
      <c r="F1" s="537" t="s">
        <v>3627</v>
      </c>
      <c r="G1" s="537" t="s">
        <v>3628</v>
      </c>
      <c r="H1" s="537" t="s">
        <v>3629</v>
      </c>
      <c r="I1" s="537" t="s">
        <v>3630</v>
      </c>
      <c r="J1" s="537" t="s">
        <v>2871</v>
      </c>
      <c r="K1" s="537" t="s">
        <v>2875</v>
      </c>
      <c r="L1" s="537" t="s">
        <v>3631</v>
      </c>
      <c r="M1" s="537" t="s">
        <v>2873</v>
      </c>
      <c r="N1" s="537" t="s">
        <v>2874</v>
      </c>
      <c r="O1" s="537" t="s">
        <v>2876</v>
      </c>
      <c r="P1" s="538" t="s">
        <v>2877</v>
      </c>
      <c r="Q1" s="539" t="s">
        <v>3612</v>
      </c>
      <c r="R1" s="540" t="s">
        <v>3619</v>
      </c>
      <c r="S1" s="540" t="s">
        <v>3620</v>
      </c>
      <c r="T1" s="540" t="s">
        <v>821</v>
      </c>
      <c r="U1" s="156" t="s">
        <v>73</v>
      </c>
      <c r="V1" s="156" t="s">
        <v>3617</v>
      </c>
      <c r="W1" s="156" t="s">
        <v>2884</v>
      </c>
      <c r="X1" s="156" t="s">
        <v>89</v>
      </c>
      <c r="Y1" s="156" t="s">
        <v>2666</v>
      </c>
      <c r="Z1" s="156" t="s">
        <v>2667</v>
      </c>
      <c r="AA1" s="156" t="s">
        <v>761</v>
      </c>
      <c r="AB1" s="156" t="s">
        <v>3968</v>
      </c>
      <c r="AC1" s="156" t="s">
        <v>3969</v>
      </c>
      <c r="AD1" s="156" t="s">
        <v>3970</v>
      </c>
      <c r="AE1" s="121" t="s">
        <v>2602</v>
      </c>
    </row>
    <row r="2" spans="1:31" s="236" customFormat="1" hidden="1" x14ac:dyDescent="0.3">
      <c r="A2" s="790"/>
      <c r="B2"/>
      <c r="C2" s="21">
        <v>3</v>
      </c>
      <c r="D2" s="21">
        <v>4</v>
      </c>
      <c r="E2" s="21">
        <v>5</v>
      </c>
      <c r="F2" s="21">
        <v>6</v>
      </c>
      <c r="G2" s="21">
        <v>7</v>
      </c>
      <c r="H2" s="21">
        <v>8</v>
      </c>
      <c r="I2" s="21">
        <v>9</v>
      </c>
      <c r="J2" s="21">
        <v>10</v>
      </c>
      <c r="K2" s="21">
        <v>11</v>
      </c>
      <c r="L2" s="21">
        <v>12</v>
      </c>
      <c r="M2" s="21">
        <v>13</v>
      </c>
      <c r="N2" s="21">
        <v>14</v>
      </c>
      <c r="O2" s="21">
        <v>15</v>
      </c>
      <c r="P2" s="21">
        <v>16</v>
      </c>
      <c r="Q2" s="21">
        <v>17</v>
      </c>
      <c r="R2" s="21">
        <v>18</v>
      </c>
      <c r="S2" s="21">
        <v>19</v>
      </c>
      <c r="T2" s="21">
        <v>20</v>
      </c>
      <c r="U2" s="21">
        <v>21</v>
      </c>
      <c r="V2" s="21">
        <v>22</v>
      </c>
      <c r="W2" s="21">
        <v>23</v>
      </c>
      <c r="X2" s="21">
        <v>24</v>
      </c>
      <c r="Y2" s="21">
        <v>25</v>
      </c>
      <c r="Z2" s="21">
        <v>26</v>
      </c>
      <c r="AA2" s="21">
        <v>27</v>
      </c>
      <c r="AB2" s="21">
        <v>28</v>
      </c>
      <c r="AC2" s="21">
        <v>29</v>
      </c>
      <c r="AD2" s="21">
        <v>30</v>
      </c>
      <c r="AE2" s="21"/>
    </row>
    <row r="3" spans="1:31" s="236" customFormat="1" x14ac:dyDescent="0.3">
      <c r="A3" s="791"/>
      <c r="B3" s="21" t="s">
        <v>3960</v>
      </c>
      <c r="C3" s="750">
        <v>17</v>
      </c>
      <c r="D3" s="750">
        <v>9</v>
      </c>
      <c r="E3" s="750">
        <v>2</v>
      </c>
      <c r="F3" s="750">
        <v>10</v>
      </c>
      <c r="G3" s="750">
        <v>4</v>
      </c>
      <c r="H3" s="750">
        <v>6</v>
      </c>
      <c r="I3" s="750">
        <v>2</v>
      </c>
      <c r="J3" s="750">
        <v>6</v>
      </c>
      <c r="K3" s="750">
        <v>8</v>
      </c>
      <c r="L3" s="750">
        <v>9</v>
      </c>
      <c r="M3" s="750">
        <v>5</v>
      </c>
      <c r="N3" s="750">
        <v>7</v>
      </c>
      <c r="O3" s="750">
        <v>5</v>
      </c>
      <c r="P3" s="750">
        <v>10</v>
      </c>
      <c r="Q3" s="21">
        <v>0</v>
      </c>
      <c r="R3" s="21">
        <v>0</v>
      </c>
      <c r="S3" s="21">
        <v>0</v>
      </c>
      <c r="T3" s="21">
        <v>0</v>
      </c>
      <c r="U3" s="21"/>
      <c r="V3" s="21"/>
      <c r="W3" s="21"/>
      <c r="X3" s="21"/>
      <c r="Y3" s="21"/>
      <c r="Z3" s="21"/>
      <c r="AA3" s="21"/>
      <c r="AB3" s="21"/>
      <c r="AC3" s="21"/>
      <c r="AD3" s="21"/>
      <c r="AE3" s="21">
        <f>SUM(C3:T3)</f>
        <v>100</v>
      </c>
    </row>
    <row r="4" spans="1:31" s="751" customFormat="1" ht="28.8" x14ac:dyDescent="0.3">
      <c r="A4" s="792">
        <v>1</v>
      </c>
      <c r="B4" s="789" t="s">
        <v>3947</v>
      </c>
      <c r="C4" s="756">
        <f t="shared" ref="C4:T4" si="0">+C3/$AE$3</f>
        <v>0.17</v>
      </c>
      <c r="D4" s="756">
        <f t="shared" si="0"/>
        <v>0.09</v>
      </c>
      <c r="E4" s="756">
        <f t="shared" si="0"/>
        <v>0.02</v>
      </c>
      <c r="F4" s="756">
        <f t="shared" si="0"/>
        <v>0.1</v>
      </c>
      <c r="G4" s="756">
        <f t="shared" si="0"/>
        <v>0.04</v>
      </c>
      <c r="H4" s="756">
        <f t="shared" si="0"/>
        <v>0.06</v>
      </c>
      <c r="I4" s="756">
        <f t="shared" si="0"/>
        <v>0.02</v>
      </c>
      <c r="J4" s="756">
        <f t="shared" si="0"/>
        <v>0.06</v>
      </c>
      <c r="K4" s="756">
        <f t="shared" si="0"/>
        <v>0.08</v>
      </c>
      <c r="L4" s="756">
        <f t="shared" si="0"/>
        <v>0.09</v>
      </c>
      <c r="M4" s="756">
        <f t="shared" si="0"/>
        <v>0.05</v>
      </c>
      <c r="N4" s="756">
        <f t="shared" si="0"/>
        <v>7.0000000000000007E-2</v>
      </c>
      <c r="O4" s="756">
        <f t="shared" si="0"/>
        <v>0.05</v>
      </c>
      <c r="P4" s="756">
        <f t="shared" si="0"/>
        <v>0.1</v>
      </c>
      <c r="Q4" s="756">
        <f t="shared" si="0"/>
        <v>0</v>
      </c>
      <c r="R4" s="756">
        <f t="shared" si="0"/>
        <v>0</v>
      </c>
      <c r="S4" s="756">
        <f t="shared" si="0"/>
        <v>0</v>
      </c>
      <c r="T4" s="756">
        <f t="shared" si="0"/>
        <v>0</v>
      </c>
      <c r="U4" s="756"/>
      <c r="V4" s="756"/>
      <c r="W4" s="756"/>
      <c r="X4" s="756"/>
      <c r="Y4" s="756"/>
      <c r="Z4" s="756"/>
      <c r="AA4" s="756"/>
      <c r="AB4" s="756"/>
      <c r="AC4" s="756"/>
      <c r="AD4" s="756"/>
      <c r="AE4" s="757">
        <f t="shared" ref="AE4:AE30" si="1">SUM(C4:T4)</f>
        <v>1.0000000000000002</v>
      </c>
    </row>
    <row r="5" spans="1:31" s="753" customFormat="1" x14ac:dyDescent="0.3">
      <c r="A5" s="791"/>
      <c r="B5" s="750" t="s">
        <v>3632</v>
      </c>
      <c r="C5" s="750">
        <v>17</v>
      </c>
      <c r="D5" s="750">
        <v>9</v>
      </c>
      <c r="E5" s="750">
        <v>2</v>
      </c>
      <c r="F5" s="750">
        <v>10</v>
      </c>
      <c r="G5" s="750">
        <v>4</v>
      </c>
      <c r="H5" s="750">
        <v>6</v>
      </c>
      <c r="I5" s="750">
        <v>2</v>
      </c>
      <c r="J5" s="750">
        <v>6</v>
      </c>
      <c r="K5" s="750">
        <v>8</v>
      </c>
      <c r="L5" s="750">
        <v>9</v>
      </c>
      <c r="M5" s="750">
        <v>5</v>
      </c>
      <c r="N5" s="750">
        <v>7</v>
      </c>
      <c r="O5" s="750">
        <v>5</v>
      </c>
      <c r="P5" s="750">
        <v>0</v>
      </c>
      <c r="Q5" s="750">
        <v>0</v>
      </c>
      <c r="R5" s="750">
        <v>0</v>
      </c>
      <c r="S5" s="750">
        <v>0</v>
      </c>
      <c r="T5" s="750">
        <v>0</v>
      </c>
      <c r="U5" s="750"/>
      <c r="V5" s="750"/>
      <c r="W5" s="750"/>
      <c r="X5" s="750"/>
      <c r="Y5" s="750"/>
      <c r="Z5" s="750"/>
      <c r="AA5" s="750"/>
      <c r="AB5" s="750"/>
      <c r="AC5" s="750"/>
      <c r="AD5" s="750"/>
      <c r="AE5" s="750">
        <f>SUM(C5:T5)</f>
        <v>90</v>
      </c>
    </row>
    <row r="6" spans="1:31" s="751" customFormat="1" ht="28.8" x14ac:dyDescent="0.3">
      <c r="A6" s="792">
        <v>2</v>
      </c>
      <c r="B6" s="789" t="s">
        <v>3948</v>
      </c>
      <c r="C6" s="756">
        <f t="shared" ref="C6:T6" si="2">C5/$AE$5</f>
        <v>0.18888888888888888</v>
      </c>
      <c r="D6" s="756">
        <f t="shared" si="2"/>
        <v>0.1</v>
      </c>
      <c r="E6" s="756">
        <f t="shared" si="2"/>
        <v>2.2222222222222223E-2</v>
      </c>
      <c r="F6" s="756">
        <f t="shared" si="2"/>
        <v>0.1111111111111111</v>
      </c>
      <c r="G6" s="756">
        <f t="shared" si="2"/>
        <v>4.4444444444444446E-2</v>
      </c>
      <c r="H6" s="756">
        <f t="shared" si="2"/>
        <v>6.6666666666666666E-2</v>
      </c>
      <c r="I6" s="756">
        <f t="shared" si="2"/>
        <v>2.2222222222222223E-2</v>
      </c>
      <c r="J6" s="756">
        <f t="shared" si="2"/>
        <v>6.6666666666666666E-2</v>
      </c>
      <c r="K6" s="756">
        <f t="shared" si="2"/>
        <v>8.8888888888888892E-2</v>
      </c>
      <c r="L6" s="756">
        <f t="shared" si="2"/>
        <v>0.1</v>
      </c>
      <c r="M6" s="756">
        <f t="shared" si="2"/>
        <v>5.5555555555555552E-2</v>
      </c>
      <c r="N6" s="756">
        <f t="shared" si="2"/>
        <v>7.7777777777777779E-2</v>
      </c>
      <c r="O6" s="756">
        <f t="shared" si="2"/>
        <v>5.5555555555555552E-2</v>
      </c>
      <c r="P6" s="756">
        <f t="shared" si="2"/>
        <v>0</v>
      </c>
      <c r="Q6" s="756">
        <f t="shared" si="2"/>
        <v>0</v>
      </c>
      <c r="R6" s="756">
        <f t="shared" si="2"/>
        <v>0</v>
      </c>
      <c r="S6" s="756">
        <f t="shared" si="2"/>
        <v>0</v>
      </c>
      <c r="T6" s="756">
        <f t="shared" si="2"/>
        <v>0</v>
      </c>
      <c r="U6" s="756"/>
      <c r="V6" s="756"/>
      <c r="W6" s="756"/>
      <c r="X6" s="756"/>
      <c r="Y6" s="756"/>
      <c r="Z6" s="756"/>
      <c r="AA6" s="756"/>
      <c r="AB6" s="756"/>
      <c r="AC6" s="756"/>
      <c r="AD6" s="756"/>
      <c r="AE6" s="757">
        <f t="shared" si="1"/>
        <v>1</v>
      </c>
    </row>
    <row r="7" spans="1:31" s="236" customFormat="1" ht="31.2" x14ac:dyDescent="0.3">
      <c r="A7" s="793"/>
      <c r="B7" s="113" t="s">
        <v>3957</v>
      </c>
      <c r="C7" s="21">
        <v>131</v>
      </c>
      <c r="D7" s="21">
        <v>30</v>
      </c>
      <c r="E7" s="21">
        <v>6</v>
      </c>
      <c r="F7" s="21">
        <v>41</v>
      </c>
      <c r="G7" s="21">
        <v>15</v>
      </c>
      <c r="H7" s="21">
        <v>40</v>
      </c>
      <c r="I7" s="21">
        <v>40</v>
      </c>
      <c r="J7" s="21">
        <v>57</v>
      </c>
      <c r="K7" s="21">
        <v>33</v>
      </c>
      <c r="L7" s="21">
        <v>32</v>
      </c>
      <c r="M7" s="21">
        <v>4</v>
      </c>
      <c r="N7" s="21">
        <v>139</v>
      </c>
      <c r="O7" s="21">
        <v>18</v>
      </c>
      <c r="P7" s="21">
        <v>0</v>
      </c>
      <c r="Q7" s="21">
        <v>0</v>
      </c>
      <c r="R7" s="21">
        <v>0</v>
      </c>
      <c r="S7" s="21">
        <v>0</v>
      </c>
      <c r="T7" s="21">
        <v>0</v>
      </c>
      <c r="U7" s="21"/>
      <c r="V7" s="21"/>
      <c r="W7" s="21"/>
      <c r="X7" s="21"/>
      <c r="Y7" s="21"/>
      <c r="Z7" s="21"/>
      <c r="AA7" s="21"/>
      <c r="AB7" s="21"/>
      <c r="AC7" s="21"/>
      <c r="AD7" s="21"/>
      <c r="AE7" s="21">
        <f>SUM(C7:T7)</f>
        <v>586</v>
      </c>
    </row>
    <row r="8" spans="1:31" s="751" customFormat="1" ht="28.8" x14ac:dyDescent="0.3">
      <c r="A8" s="792">
        <v>3</v>
      </c>
      <c r="B8" s="789" t="s">
        <v>3946</v>
      </c>
      <c r="C8" s="756">
        <f t="shared" ref="C8:T8" si="3">+C7/$AE$7</f>
        <v>0.2235494880546075</v>
      </c>
      <c r="D8" s="756">
        <f t="shared" si="3"/>
        <v>5.1194539249146756E-2</v>
      </c>
      <c r="E8" s="756">
        <f t="shared" si="3"/>
        <v>1.0238907849829351E-2</v>
      </c>
      <c r="F8" s="756">
        <f t="shared" si="3"/>
        <v>6.9965870307167236E-2</v>
      </c>
      <c r="G8" s="756">
        <f t="shared" si="3"/>
        <v>2.5597269624573378E-2</v>
      </c>
      <c r="H8" s="756">
        <f t="shared" si="3"/>
        <v>6.8259385665529013E-2</v>
      </c>
      <c r="I8" s="756">
        <f t="shared" si="3"/>
        <v>6.8259385665529013E-2</v>
      </c>
      <c r="J8" s="756">
        <f t="shared" si="3"/>
        <v>9.7269624573378843E-2</v>
      </c>
      <c r="K8" s="756">
        <f t="shared" si="3"/>
        <v>5.6313993174061432E-2</v>
      </c>
      <c r="L8" s="756">
        <f t="shared" si="3"/>
        <v>5.4607508532423209E-2</v>
      </c>
      <c r="M8" s="756">
        <f t="shared" si="3"/>
        <v>6.8259385665529011E-3</v>
      </c>
      <c r="N8" s="756">
        <f t="shared" si="3"/>
        <v>0.23720136518771331</v>
      </c>
      <c r="O8" s="756">
        <f t="shared" si="3"/>
        <v>3.0716723549488054E-2</v>
      </c>
      <c r="P8" s="756">
        <f t="shared" si="3"/>
        <v>0</v>
      </c>
      <c r="Q8" s="756">
        <f t="shared" si="3"/>
        <v>0</v>
      </c>
      <c r="R8" s="756">
        <f t="shared" si="3"/>
        <v>0</v>
      </c>
      <c r="S8" s="756">
        <f t="shared" si="3"/>
        <v>0</v>
      </c>
      <c r="T8" s="756">
        <f t="shared" si="3"/>
        <v>0</v>
      </c>
      <c r="U8" s="756"/>
      <c r="V8" s="756"/>
      <c r="W8" s="756"/>
      <c r="X8" s="756"/>
      <c r="Y8" s="756"/>
      <c r="Z8" s="756"/>
      <c r="AA8" s="756"/>
      <c r="AB8" s="756"/>
      <c r="AC8" s="756"/>
      <c r="AD8" s="756"/>
      <c r="AE8" s="757">
        <f t="shared" si="1"/>
        <v>0.99999999999999989</v>
      </c>
    </row>
    <row r="9" spans="1:31" hidden="1" x14ac:dyDescent="0.3">
      <c r="A9" s="794">
        <v>4</v>
      </c>
      <c r="B9" s="745" t="s">
        <v>3949</v>
      </c>
      <c r="C9" s="564"/>
      <c r="D9" s="564"/>
      <c r="E9" s="564"/>
      <c r="F9" s="564"/>
      <c r="G9" s="746"/>
      <c r="H9" s="564"/>
      <c r="I9" s="564"/>
      <c r="J9" s="564"/>
      <c r="K9" s="564"/>
      <c r="L9" s="564"/>
      <c r="M9" s="564"/>
      <c r="N9" s="564"/>
      <c r="O9" s="564"/>
      <c r="P9" s="564"/>
      <c r="Q9" s="564"/>
      <c r="R9" s="564"/>
      <c r="S9" s="564"/>
      <c r="T9" s="564"/>
      <c r="U9" s="564"/>
      <c r="V9" s="564"/>
      <c r="W9" s="564"/>
      <c r="X9" s="564"/>
      <c r="Y9" s="564"/>
      <c r="Z9" s="564"/>
      <c r="AA9" s="564"/>
      <c r="AB9" s="564"/>
      <c r="AC9" s="564"/>
      <c r="AD9" s="564"/>
      <c r="AE9" s="21">
        <f t="shared" si="1"/>
        <v>0</v>
      </c>
    </row>
    <row r="10" spans="1:31" s="752" customFormat="1" x14ac:dyDescent="0.3">
      <c r="A10" s="792">
        <v>5</v>
      </c>
      <c r="B10" s="789" t="s">
        <v>3950</v>
      </c>
      <c r="C10" s="758">
        <v>0</v>
      </c>
      <c r="D10" s="758">
        <v>0</v>
      </c>
      <c r="E10" s="758">
        <v>0</v>
      </c>
      <c r="F10" s="758">
        <v>0</v>
      </c>
      <c r="G10" s="758">
        <v>0</v>
      </c>
      <c r="H10" s="758">
        <v>0</v>
      </c>
      <c r="I10" s="758">
        <v>0</v>
      </c>
      <c r="J10" s="758">
        <v>0</v>
      </c>
      <c r="K10" s="758">
        <v>0</v>
      </c>
      <c r="L10" s="758">
        <v>0</v>
      </c>
      <c r="M10" s="758">
        <v>1</v>
      </c>
      <c r="N10" s="758">
        <v>0</v>
      </c>
      <c r="O10" s="758">
        <v>0</v>
      </c>
      <c r="P10" s="758">
        <v>0</v>
      </c>
      <c r="Q10" s="758">
        <v>0</v>
      </c>
      <c r="R10" s="758">
        <v>0</v>
      </c>
      <c r="S10" s="758">
        <v>0</v>
      </c>
      <c r="T10" s="758">
        <v>0</v>
      </c>
      <c r="U10" s="758"/>
      <c r="V10" s="758"/>
      <c r="W10" s="758"/>
      <c r="X10" s="758"/>
      <c r="Y10" s="758"/>
      <c r="Z10" s="758"/>
      <c r="AA10" s="758"/>
      <c r="AB10" s="758"/>
      <c r="AC10" s="758"/>
      <c r="AD10" s="758"/>
      <c r="AE10" s="757">
        <f t="shared" si="1"/>
        <v>1</v>
      </c>
    </row>
    <row r="11" spans="1:31" s="236" customFormat="1" ht="31.2" x14ac:dyDescent="0.3">
      <c r="A11" s="793"/>
      <c r="B11" s="113" t="s">
        <v>3958</v>
      </c>
      <c r="C11" s="21">
        <v>244</v>
      </c>
      <c r="D11" s="21">
        <v>30</v>
      </c>
      <c r="E11" s="21">
        <v>6</v>
      </c>
      <c r="F11" s="21">
        <v>41</v>
      </c>
      <c r="G11" s="21">
        <v>15</v>
      </c>
      <c r="H11" s="21">
        <v>40</v>
      </c>
      <c r="I11" s="21">
        <v>40</v>
      </c>
      <c r="J11" s="21">
        <v>57</v>
      </c>
      <c r="K11" s="21">
        <v>91</v>
      </c>
      <c r="L11" s="21">
        <v>43</v>
      </c>
      <c r="M11" s="21">
        <v>8</v>
      </c>
      <c r="N11" s="21">
        <v>164</v>
      </c>
      <c r="O11" s="21">
        <v>18</v>
      </c>
      <c r="P11" s="21">
        <v>0</v>
      </c>
      <c r="Q11" s="21"/>
      <c r="R11" s="21">
        <v>0</v>
      </c>
      <c r="S11" s="21">
        <v>0</v>
      </c>
      <c r="T11" s="21">
        <v>0</v>
      </c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>
        <f>SUM(C11:T11)</f>
        <v>797</v>
      </c>
    </row>
    <row r="12" spans="1:31" x14ac:dyDescent="0.3">
      <c r="A12" s="792">
        <v>6</v>
      </c>
      <c r="B12" s="755" t="s">
        <v>3951</v>
      </c>
      <c r="C12" s="756">
        <f t="shared" ref="C12:T12" si="4">+C11/$AE$11</f>
        <v>0.30614805520702637</v>
      </c>
      <c r="D12" s="756">
        <f t="shared" si="4"/>
        <v>3.7641154328732745E-2</v>
      </c>
      <c r="E12" s="756">
        <f t="shared" si="4"/>
        <v>7.5282308657465494E-3</v>
      </c>
      <c r="F12" s="756">
        <f t="shared" si="4"/>
        <v>5.1442910915934753E-2</v>
      </c>
      <c r="G12" s="756">
        <f t="shared" si="4"/>
        <v>1.8820577164366373E-2</v>
      </c>
      <c r="H12" s="756">
        <f t="shared" si="4"/>
        <v>5.0188205771643665E-2</v>
      </c>
      <c r="I12" s="756">
        <f t="shared" si="4"/>
        <v>5.0188205771643665E-2</v>
      </c>
      <c r="J12" s="756">
        <f t="shared" si="4"/>
        <v>7.1518193224592227E-2</v>
      </c>
      <c r="K12" s="756">
        <f t="shared" si="4"/>
        <v>0.11417816813048934</v>
      </c>
      <c r="L12" s="756">
        <f t="shared" si="4"/>
        <v>5.3952321204516936E-2</v>
      </c>
      <c r="M12" s="756">
        <f t="shared" si="4"/>
        <v>1.0037641154328732E-2</v>
      </c>
      <c r="N12" s="756">
        <f t="shared" si="4"/>
        <v>0.20577164366373901</v>
      </c>
      <c r="O12" s="756">
        <f t="shared" si="4"/>
        <v>2.258469259723965E-2</v>
      </c>
      <c r="P12" s="756">
        <f t="shared" si="4"/>
        <v>0</v>
      </c>
      <c r="Q12" s="756">
        <f t="shared" si="4"/>
        <v>0</v>
      </c>
      <c r="R12" s="756">
        <f t="shared" si="4"/>
        <v>0</v>
      </c>
      <c r="S12" s="756">
        <f t="shared" si="4"/>
        <v>0</v>
      </c>
      <c r="T12" s="756">
        <f t="shared" si="4"/>
        <v>0</v>
      </c>
      <c r="U12" s="756"/>
      <c r="V12" s="756"/>
      <c r="W12" s="756"/>
      <c r="X12" s="756"/>
      <c r="Y12" s="756"/>
      <c r="Z12" s="756"/>
      <c r="AA12" s="756"/>
      <c r="AB12" s="756"/>
      <c r="AC12" s="756"/>
      <c r="AD12" s="756"/>
      <c r="AE12" s="757">
        <f t="shared" si="1"/>
        <v>0.99999999999999989</v>
      </c>
    </row>
    <row r="13" spans="1:31" s="763" customFormat="1" ht="16.5" customHeight="1" x14ac:dyDescent="0.3">
      <c r="A13" s="795"/>
      <c r="B13" s="745" t="s">
        <v>3972</v>
      </c>
      <c r="C13" s="764">
        <f>+'1 kari főtábla'!N4</f>
        <v>97510865.560839713</v>
      </c>
      <c r="D13" s="764">
        <f>+'1 kari főtábla'!O4</f>
        <v>15670133.047280721</v>
      </c>
      <c r="E13" s="764">
        <f>+'1 kari főtábla'!P4</f>
        <v>2682970.038435569</v>
      </c>
      <c r="F13" s="764">
        <f>+'1 kari főtábla'!Q4</f>
        <v>23497848.324401826</v>
      </c>
      <c r="G13" s="764">
        <f>+'1 kari főtábla'!R4</f>
        <v>6514115.3525451608</v>
      </c>
      <c r="H13" s="764">
        <f>+'1 kari főtábla'!S4</f>
        <v>32992407.970712714</v>
      </c>
      <c r="I13" s="764">
        <f>+'1 kari főtábla'!T4</f>
        <v>17889605.956597392</v>
      </c>
      <c r="J13" s="764">
        <f>+'1 kari főtábla'!U4</f>
        <v>32092403.908097994</v>
      </c>
      <c r="K13" s="764">
        <f>+'1 kari főtábla'!V4</f>
        <v>38335851.550409704</v>
      </c>
      <c r="L13" s="764">
        <f>+'1 kari főtábla'!W4</f>
        <v>23927299.492150623</v>
      </c>
      <c r="M13" s="764">
        <f>+'1 kari főtábla'!X4</f>
        <v>2615316.0762326214</v>
      </c>
      <c r="N13" s="764">
        <f>+'1 kari főtábla'!Y4</f>
        <v>68182457.749455661</v>
      </c>
      <c r="O13" s="764">
        <f>+'1 kari főtábla'!Z4</f>
        <v>11420482.782960525</v>
      </c>
      <c r="P13" s="764">
        <f>+'1 kari főtábla'!AA4</f>
        <v>0</v>
      </c>
      <c r="Q13" s="764">
        <f>+'1 kari főtábla'!AB4</f>
        <v>0</v>
      </c>
      <c r="R13" s="764">
        <f>+'1 kari főtábla'!AC4</f>
        <v>0</v>
      </c>
      <c r="S13" s="764">
        <f>+'1 kari főtábla'!AD4</f>
        <v>0</v>
      </c>
      <c r="T13" s="764">
        <f>+'1 kari főtábla'!AE4</f>
        <v>0</v>
      </c>
      <c r="U13" s="764"/>
      <c r="V13" s="764"/>
      <c r="W13" s="764"/>
      <c r="X13" s="764"/>
      <c r="Y13" s="764"/>
      <c r="Z13" s="764"/>
      <c r="AA13" s="764"/>
      <c r="AB13" s="764"/>
      <c r="AC13" s="764"/>
      <c r="AD13" s="764"/>
      <c r="AE13" s="765">
        <f t="shared" si="1"/>
        <v>373331757.81012022</v>
      </c>
    </row>
    <row r="14" spans="1:31" s="752" customFormat="1" x14ac:dyDescent="0.3">
      <c r="A14" s="796">
        <v>7</v>
      </c>
      <c r="B14" s="755" t="s">
        <v>3973</v>
      </c>
      <c r="C14" s="756">
        <f>+C13/  $AE$13</f>
        <v>0.26119092073178135</v>
      </c>
      <c r="D14" s="756">
        <f t="shared" ref="D14:T14" si="5">+D13/  $AE$13</f>
        <v>4.1973747797932282E-2</v>
      </c>
      <c r="E14" s="756">
        <f t="shared" si="5"/>
        <v>7.1865572170266611E-3</v>
      </c>
      <c r="F14" s="756">
        <f t="shared" si="5"/>
        <v>6.2940930774908879E-2</v>
      </c>
      <c r="G14" s="756">
        <f t="shared" si="5"/>
        <v>1.744859690146772E-2</v>
      </c>
      <c r="H14" s="756">
        <f t="shared" si="5"/>
        <v>8.8372894297122556E-2</v>
      </c>
      <c r="I14" s="756">
        <f t="shared" si="5"/>
        <v>4.7918789608293114E-2</v>
      </c>
      <c r="J14" s="756">
        <f t="shared" si="5"/>
        <v>8.5962158955736279E-2</v>
      </c>
      <c r="K14" s="756">
        <f t="shared" si="5"/>
        <v>0.1026857500023013</v>
      </c>
      <c r="L14" s="756">
        <f t="shared" si="5"/>
        <v>6.4091251257334114E-2</v>
      </c>
      <c r="M14" s="756">
        <f t="shared" si="5"/>
        <v>7.0053404820781253E-3</v>
      </c>
      <c r="N14" s="756">
        <f t="shared" si="5"/>
        <v>0.18263235399366654</v>
      </c>
      <c r="O14" s="756">
        <f t="shared" si="5"/>
        <v>3.0590707980351035E-2</v>
      </c>
      <c r="P14" s="756">
        <f t="shared" si="5"/>
        <v>0</v>
      </c>
      <c r="Q14" s="756">
        <f t="shared" si="5"/>
        <v>0</v>
      </c>
      <c r="R14" s="756">
        <f t="shared" si="5"/>
        <v>0</v>
      </c>
      <c r="S14" s="756">
        <f t="shared" si="5"/>
        <v>0</v>
      </c>
      <c r="T14" s="756">
        <f t="shared" si="5"/>
        <v>0</v>
      </c>
      <c r="U14" s="756"/>
      <c r="V14" s="756"/>
      <c r="W14" s="756"/>
      <c r="X14" s="756"/>
      <c r="Y14" s="756"/>
      <c r="Z14" s="756"/>
      <c r="AA14" s="756"/>
      <c r="AB14" s="756"/>
      <c r="AC14" s="756"/>
      <c r="AD14" s="756"/>
      <c r="AE14" s="756">
        <f t="shared" si="1"/>
        <v>1</v>
      </c>
    </row>
    <row r="15" spans="1:31" s="752" customFormat="1" x14ac:dyDescent="0.3">
      <c r="A15" s="797">
        <v>8</v>
      </c>
      <c r="B15" s="748" t="s">
        <v>3952</v>
      </c>
      <c r="C15" s="749">
        <v>1</v>
      </c>
      <c r="D15" s="749">
        <v>0</v>
      </c>
      <c r="E15" s="749">
        <v>0</v>
      </c>
      <c r="F15" s="749">
        <v>0</v>
      </c>
      <c r="G15" s="749">
        <v>0</v>
      </c>
      <c r="H15" s="749">
        <v>0</v>
      </c>
      <c r="I15" s="749">
        <v>0</v>
      </c>
      <c r="J15" s="749">
        <v>0</v>
      </c>
      <c r="K15" s="749">
        <v>0</v>
      </c>
      <c r="L15" s="749">
        <v>0</v>
      </c>
      <c r="M15" s="749">
        <v>0</v>
      </c>
      <c r="N15" s="749">
        <v>0</v>
      </c>
      <c r="O15" s="749">
        <v>0</v>
      </c>
      <c r="P15" s="749">
        <v>0</v>
      </c>
      <c r="Q15" s="749">
        <v>0</v>
      </c>
      <c r="R15" s="749">
        <v>0</v>
      </c>
      <c r="S15" s="749">
        <v>0</v>
      </c>
      <c r="T15" s="749">
        <v>0</v>
      </c>
      <c r="U15" s="749"/>
      <c r="V15" s="749"/>
      <c r="W15" s="749"/>
      <c r="X15" s="749"/>
      <c r="Y15" s="749"/>
      <c r="Z15" s="749"/>
      <c r="AA15" s="749"/>
      <c r="AB15" s="749"/>
      <c r="AC15" s="749"/>
      <c r="AD15" s="749"/>
      <c r="AE15" s="750">
        <f t="shared" si="1"/>
        <v>1</v>
      </c>
    </row>
    <row r="16" spans="1:31" s="752" customFormat="1" x14ac:dyDescent="0.3">
      <c r="A16" s="792">
        <v>9</v>
      </c>
      <c r="B16" s="755" t="s">
        <v>3953</v>
      </c>
      <c r="C16" s="756">
        <f>+C12*0.6+C6*0.4</f>
        <v>0.2592443886797714</v>
      </c>
      <c r="D16" s="756">
        <f t="shared" ref="D16:T16" si="6">+D12*0.6+D6*0.4</f>
        <v>6.2584692597239658E-2</v>
      </c>
      <c r="E16" s="756">
        <f t="shared" si="6"/>
        <v>1.3405827408336818E-2</v>
      </c>
      <c r="F16" s="756">
        <f t="shared" si="6"/>
        <v>7.5310190994005294E-2</v>
      </c>
      <c r="G16" s="756">
        <f t="shared" si="6"/>
        <v>2.9070124076397599E-2</v>
      </c>
      <c r="H16" s="756">
        <f t="shared" si="6"/>
        <v>5.6779590129652863E-2</v>
      </c>
      <c r="I16" s="756">
        <f t="shared" si="6"/>
        <v>3.9001812351875088E-2</v>
      </c>
      <c r="J16" s="756">
        <f t="shared" si="6"/>
        <v>6.9577582601422008E-2</v>
      </c>
      <c r="K16" s="756">
        <f t="shared" si="6"/>
        <v>0.10406245643384915</v>
      </c>
      <c r="L16" s="756">
        <f t="shared" si="6"/>
        <v>7.2371392722710176E-2</v>
      </c>
      <c r="M16" s="756">
        <f t="shared" si="6"/>
        <v>2.8244806914819461E-2</v>
      </c>
      <c r="N16" s="756">
        <f t="shared" si="6"/>
        <v>0.15457409730935451</v>
      </c>
      <c r="O16" s="756">
        <f t="shared" si="6"/>
        <v>3.5773037780566015E-2</v>
      </c>
      <c r="P16" s="756">
        <f t="shared" si="6"/>
        <v>0</v>
      </c>
      <c r="Q16" s="756">
        <f t="shared" si="6"/>
        <v>0</v>
      </c>
      <c r="R16" s="756">
        <f t="shared" si="6"/>
        <v>0</v>
      </c>
      <c r="S16" s="756">
        <f t="shared" si="6"/>
        <v>0</v>
      </c>
      <c r="T16" s="756">
        <f t="shared" si="6"/>
        <v>0</v>
      </c>
      <c r="U16" s="756"/>
      <c r="V16" s="756"/>
      <c r="W16" s="756"/>
      <c r="X16" s="756"/>
      <c r="Y16" s="756"/>
      <c r="Z16" s="756"/>
      <c r="AA16" s="756"/>
      <c r="AB16" s="756"/>
      <c r="AC16" s="756"/>
      <c r="AD16" s="756"/>
      <c r="AE16" s="757">
        <f t="shared" si="1"/>
        <v>1</v>
      </c>
    </row>
    <row r="17" spans="1:31" s="236" customFormat="1" ht="31.2" x14ac:dyDescent="0.3">
      <c r="A17" s="793"/>
      <c r="B17" s="113" t="s">
        <v>3961</v>
      </c>
      <c r="C17" s="21"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  <c r="I17" s="21">
        <v>0</v>
      </c>
      <c r="J17" s="21">
        <v>0</v>
      </c>
      <c r="K17" s="21">
        <f>+K11</f>
        <v>91</v>
      </c>
      <c r="L17" s="21">
        <v>0</v>
      </c>
      <c r="M17" s="21">
        <v>0</v>
      </c>
      <c r="N17" s="21">
        <v>0</v>
      </c>
      <c r="O17" s="21">
        <f>+O11</f>
        <v>18</v>
      </c>
      <c r="P17" s="21">
        <v>0</v>
      </c>
      <c r="Q17" s="21">
        <v>0</v>
      </c>
      <c r="R17" s="21">
        <v>0</v>
      </c>
      <c r="S17" s="21">
        <v>0</v>
      </c>
      <c r="T17" s="21">
        <v>0</v>
      </c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>
        <f>SUM(C17:T17)</f>
        <v>109</v>
      </c>
    </row>
    <row r="18" spans="1:31" s="759" customFormat="1" x14ac:dyDescent="0.3">
      <c r="A18" s="798"/>
      <c r="B18" s="541" t="s">
        <v>3964</v>
      </c>
      <c r="C18" s="541">
        <f>+C17/$AE$17</f>
        <v>0</v>
      </c>
      <c r="D18" s="541">
        <f t="shared" ref="D18:T18" si="7">+D17/$AE$17</f>
        <v>0</v>
      </c>
      <c r="E18" s="541">
        <f t="shared" si="7"/>
        <v>0</v>
      </c>
      <c r="F18" s="541">
        <f t="shared" si="7"/>
        <v>0</v>
      </c>
      <c r="G18" s="541">
        <f t="shared" si="7"/>
        <v>0</v>
      </c>
      <c r="H18" s="541">
        <f t="shared" si="7"/>
        <v>0</v>
      </c>
      <c r="I18" s="541">
        <f t="shared" si="7"/>
        <v>0</v>
      </c>
      <c r="J18" s="541">
        <f t="shared" si="7"/>
        <v>0</v>
      </c>
      <c r="K18" s="541">
        <f t="shared" si="7"/>
        <v>0.83486238532110091</v>
      </c>
      <c r="L18" s="541">
        <f t="shared" si="7"/>
        <v>0</v>
      </c>
      <c r="M18" s="541">
        <f t="shared" si="7"/>
        <v>0</v>
      </c>
      <c r="N18" s="541">
        <f t="shared" si="7"/>
        <v>0</v>
      </c>
      <c r="O18" s="541">
        <f t="shared" si="7"/>
        <v>0.16513761467889909</v>
      </c>
      <c r="P18" s="541">
        <f t="shared" si="7"/>
        <v>0</v>
      </c>
      <c r="Q18" s="541">
        <f t="shared" si="7"/>
        <v>0</v>
      </c>
      <c r="R18" s="541">
        <f t="shared" si="7"/>
        <v>0</v>
      </c>
      <c r="S18" s="541">
        <f t="shared" si="7"/>
        <v>0</v>
      </c>
      <c r="T18" s="541">
        <f t="shared" si="7"/>
        <v>0</v>
      </c>
      <c r="U18" s="541"/>
      <c r="V18" s="541"/>
      <c r="W18" s="541"/>
      <c r="X18" s="541"/>
      <c r="Y18" s="541"/>
      <c r="Z18" s="541"/>
      <c r="AA18" s="541"/>
      <c r="AB18" s="541"/>
      <c r="AC18" s="541"/>
      <c r="AD18" s="541"/>
      <c r="AE18" s="21">
        <f>SUM(C18:T18)</f>
        <v>1</v>
      </c>
    </row>
    <row r="19" spans="1:31" s="236" customFormat="1" ht="31.2" x14ac:dyDescent="0.3">
      <c r="A19" s="793"/>
      <c r="B19" s="113" t="s">
        <v>3962</v>
      </c>
      <c r="C19" s="21">
        <v>0</v>
      </c>
      <c r="D19" s="21">
        <v>0</v>
      </c>
      <c r="E19" s="21">
        <v>0</v>
      </c>
      <c r="F19" s="21">
        <v>0</v>
      </c>
      <c r="G19" s="21">
        <v>0</v>
      </c>
      <c r="H19" s="21">
        <v>0</v>
      </c>
      <c r="I19" s="21">
        <v>0</v>
      </c>
      <c r="J19" s="21">
        <v>0</v>
      </c>
      <c r="K19" s="21">
        <f>+K5</f>
        <v>8</v>
      </c>
      <c r="L19" s="21">
        <v>0</v>
      </c>
      <c r="M19" s="21">
        <v>0</v>
      </c>
      <c r="N19" s="21">
        <v>0</v>
      </c>
      <c r="O19" s="21">
        <f>+O5</f>
        <v>5</v>
      </c>
      <c r="P19" s="21">
        <v>0</v>
      </c>
      <c r="Q19" s="21">
        <v>0</v>
      </c>
      <c r="R19" s="21">
        <v>0</v>
      </c>
      <c r="S19" s="21">
        <v>0</v>
      </c>
      <c r="T19" s="21">
        <v>0</v>
      </c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>
        <f>SUM(C19:T19)</f>
        <v>13</v>
      </c>
    </row>
    <row r="20" spans="1:31" s="236" customFormat="1" x14ac:dyDescent="0.3">
      <c r="A20" s="793"/>
      <c r="B20" s="21" t="s">
        <v>3963</v>
      </c>
      <c r="C20" s="541">
        <f>+C19/$AE$19</f>
        <v>0</v>
      </c>
      <c r="D20" s="541">
        <f t="shared" ref="D20:T20" si="8">+D19/$AE$19</f>
        <v>0</v>
      </c>
      <c r="E20" s="541">
        <f t="shared" si="8"/>
        <v>0</v>
      </c>
      <c r="F20" s="541">
        <f t="shared" si="8"/>
        <v>0</v>
      </c>
      <c r="G20" s="541">
        <f t="shared" si="8"/>
        <v>0</v>
      </c>
      <c r="H20" s="541">
        <f t="shared" si="8"/>
        <v>0</v>
      </c>
      <c r="I20" s="541">
        <f t="shared" si="8"/>
        <v>0</v>
      </c>
      <c r="J20" s="541">
        <f t="shared" si="8"/>
        <v>0</v>
      </c>
      <c r="K20" s="541">
        <f t="shared" si="8"/>
        <v>0.61538461538461542</v>
      </c>
      <c r="L20" s="541">
        <f t="shared" si="8"/>
        <v>0</v>
      </c>
      <c r="M20" s="541">
        <f t="shared" si="8"/>
        <v>0</v>
      </c>
      <c r="N20" s="541">
        <f t="shared" si="8"/>
        <v>0</v>
      </c>
      <c r="O20" s="541">
        <f t="shared" si="8"/>
        <v>0.38461538461538464</v>
      </c>
      <c r="P20" s="541">
        <f t="shared" si="8"/>
        <v>0</v>
      </c>
      <c r="Q20" s="541">
        <f t="shared" si="8"/>
        <v>0</v>
      </c>
      <c r="R20" s="541">
        <f t="shared" si="8"/>
        <v>0</v>
      </c>
      <c r="S20" s="541">
        <f t="shared" si="8"/>
        <v>0</v>
      </c>
      <c r="T20" s="541">
        <f t="shared" si="8"/>
        <v>0</v>
      </c>
      <c r="U20" s="541"/>
      <c r="V20" s="541"/>
      <c r="W20" s="541"/>
      <c r="X20" s="541"/>
      <c r="Y20" s="541"/>
      <c r="Z20" s="541"/>
      <c r="AA20" s="541"/>
      <c r="AB20" s="541"/>
      <c r="AC20" s="541"/>
      <c r="AD20" s="541"/>
      <c r="AE20" s="21">
        <f>SUM(C20:T20)</f>
        <v>1</v>
      </c>
    </row>
    <row r="21" spans="1:31" s="752" customFormat="1" x14ac:dyDescent="0.3">
      <c r="A21" s="792">
        <v>10</v>
      </c>
      <c r="B21" s="755" t="s">
        <v>3954</v>
      </c>
      <c r="C21" s="756">
        <f>+C18*0.6+C20*0.4</f>
        <v>0</v>
      </c>
      <c r="D21" s="756">
        <f t="shared" ref="D21:T21" si="9">+D18*0.6+D20*0.4</f>
        <v>0</v>
      </c>
      <c r="E21" s="756">
        <f t="shared" si="9"/>
        <v>0</v>
      </c>
      <c r="F21" s="756">
        <f t="shared" si="9"/>
        <v>0</v>
      </c>
      <c r="G21" s="756">
        <f t="shared" si="9"/>
        <v>0</v>
      </c>
      <c r="H21" s="756">
        <f t="shared" si="9"/>
        <v>0</v>
      </c>
      <c r="I21" s="756">
        <f t="shared" si="9"/>
        <v>0</v>
      </c>
      <c r="J21" s="756">
        <f t="shared" si="9"/>
        <v>0</v>
      </c>
      <c r="K21" s="756">
        <f t="shared" si="9"/>
        <v>0.74707127734650669</v>
      </c>
      <c r="L21" s="756">
        <f t="shared" si="9"/>
        <v>0</v>
      </c>
      <c r="M21" s="756">
        <f t="shared" si="9"/>
        <v>0</v>
      </c>
      <c r="N21" s="756">
        <f t="shared" si="9"/>
        <v>0</v>
      </c>
      <c r="O21" s="756">
        <f t="shared" si="9"/>
        <v>0.25292872265349331</v>
      </c>
      <c r="P21" s="756">
        <f t="shared" si="9"/>
        <v>0</v>
      </c>
      <c r="Q21" s="756">
        <f t="shared" si="9"/>
        <v>0</v>
      </c>
      <c r="R21" s="756">
        <f t="shared" si="9"/>
        <v>0</v>
      </c>
      <c r="S21" s="756">
        <f t="shared" si="9"/>
        <v>0</v>
      </c>
      <c r="T21" s="756">
        <f t="shared" si="9"/>
        <v>0</v>
      </c>
      <c r="U21" s="756"/>
      <c r="V21" s="756"/>
      <c r="W21" s="756"/>
      <c r="X21" s="756"/>
      <c r="Y21" s="756"/>
      <c r="Z21" s="756"/>
      <c r="AA21" s="756"/>
      <c r="AB21" s="756"/>
      <c r="AC21" s="756"/>
      <c r="AD21" s="756"/>
      <c r="AE21" s="757">
        <f t="shared" si="1"/>
        <v>1</v>
      </c>
    </row>
    <row r="22" spans="1:31" s="767" customFormat="1" x14ac:dyDescent="0.3">
      <c r="A22" s="799"/>
      <c r="B22" s="766" t="s">
        <v>3979</v>
      </c>
      <c r="C22" s="768">
        <v>4820583.7171404343</v>
      </c>
      <c r="D22" s="764">
        <v>5278215</v>
      </c>
      <c r="E22" s="764">
        <v>910240.55715709494</v>
      </c>
      <c r="F22" s="768">
        <v>4930199.7967890371</v>
      </c>
      <c r="G22" s="768">
        <v>1799832</v>
      </c>
      <c r="H22" s="768">
        <v>3021754</v>
      </c>
      <c r="I22" s="768">
        <v>1038182.2846158105</v>
      </c>
      <c r="J22" s="768">
        <v>2840179.1696580392</v>
      </c>
      <c r="K22" s="768">
        <v>3597714.5737071964</v>
      </c>
      <c r="L22" s="768">
        <v>2081067.2085188197</v>
      </c>
      <c r="M22" s="768">
        <v>1088063.6066774877</v>
      </c>
      <c r="N22" s="768">
        <v>3557534.4934035297</v>
      </c>
      <c r="O22" s="768">
        <v>2469546.705883808</v>
      </c>
      <c r="P22" s="768">
        <v>3529775.7944337567</v>
      </c>
      <c r="Q22" s="764"/>
      <c r="R22" s="764">
        <v>1195176</v>
      </c>
      <c r="S22" s="764"/>
      <c r="T22" s="764"/>
      <c r="U22" s="764"/>
      <c r="V22" s="764"/>
      <c r="W22" s="764"/>
      <c r="X22" s="764"/>
      <c r="Y22" s="764"/>
      <c r="Z22" s="764"/>
      <c r="AA22" s="764"/>
      <c r="AB22" s="764"/>
      <c r="AC22" s="764"/>
      <c r="AD22" s="764"/>
      <c r="AE22" s="764">
        <f>SUM(C22:AD22)</f>
        <v>42158064.907985017</v>
      </c>
    </row>
    <row r="23" spans="1:31" x14ac:dyDescent="0.3">
      <c r="A23" s="800">
        <v>11</v>
      </c>
      <c r="B23" s="760" t="s">
        <v>3980</v>
      </c>
      <c r="C23" s="756">
        <f>+C22/$AE$22</f>
        <v>0.11434546931084077</v>
      </c>
      <c r="D23" s="756">
        <f t="shared" ref="D23:AD23" si="10">+D22/$AE$22</f>
        <v>0.12520059949431575</v>
      </c>
      <c r="E23" s="756">
        <f t="shared" si="10"/>
        <v>2.1591137049193389E-2</v>
      </c>
      <c r="F23" s="756">
        <f t="shared" si="10"/>
        <v>0.11694559054239761</v>
      </c>
      <c r="G23" s="756">
        <f t="shared" si="10"/>
        <v>4.2692471865782906E-2</v>
      </c>
      <c r="H23" s="756">
        <f t="shared" si="10"/>
        <v>7.1676771848881993E-2</v>
      </c>
      <c r="I23" s="756">
        <f t="shared" si="10"/>
        <v>2.4625947298144889E-2</v>
      </c>
      <c r="J23" s="756">
        <f t="shared" si="10"/>
        <v>6.7369770786611466E-2</v>
      </c>
      <c r="K23" s="756">
        <f t="shared" si="10"/>
        <v>8.5338702845105335E-2</v>
      </c>
      <c r="L23" s="756">
        <f t="shared" si="10"/>
        <v>4.936344239378624E-2</v>
      </c>
      <c r="M23" s="756">
        <f t="shared" si="10"/>
        <v>2.5809144918115094E-2</v>
      </c>
      <c r="N23" s="756">
        <f t="shared" si="10"/>
        <v>8.4385621141963491E-2</v>
      </c>
      <c r="O23" s="756">
        <f t="shared" si="10"/>
        <v>5.8578274673514709E-2</v>
      </c>
      <c r="P23" s="756">
        <f t="shared" si="10"/>
        <v>8.3727177756804341E-2</v>
      </c>
      <c r="Q23" s="756">
        <f t="shared" si="10"/>
        <v>0</v>
      </c>
      <c r="R23" s="756">
        <f t="shared" si="10"/>
        <v>2.834987807454193E-2</v>
      </c>
      <c r="S23" s="756">
        <f t="shared" si="10"/>
        <v>0</v>
      </c>
      <c r="T23" s="756">
        <f t="shared" si="10"/>
        <v>0</v>
      </c>
      <c r="U23" s="756">
        <f t="shared" si="10"/>
        <v>0</v>
      </c>
      <c r="V23" s="756">
        <f t="shared" si="10"/>
        <v>0</v>
      </c>
      <c r="W23" s="756">
        <f t="shared" si="10"/>
        <v>0</v>
      </c>
      <c r="X23" s="756">
        <f t="shared" si="10"/>
        <v>0</v>
      </c>
      <c r="Y23" s="756">
        <f t="shared" si="10"/>
        <v>0</v>
      </c>
      <c r="Z23" s="756">
        <f t="shared" si="10"/>
        <v>0</v>
      </c>
      <c r="AA23" s="756">
        <f t="shared" si="10"/>
        <v>0</v>
      </c>
      <c r="AB23" s="756">
        <f t="shared" si="10"/>
        <v>0</v>
      </c>
      <c r="AC23" s="756">
        <f t="shared" si="10"/>
        <v>0</v>
      </c>
      <c r="AD23" s="756">
        <f t="shared" si="10"/>
        <v>0</v>
      </c>
      <c r="AE23" s="743">
        <f t="shared" si="1"/>
        <v>1</v>
      </c>
    </row>
    <row r="24" spans="1:31" s="762" customFormat="1" x14ac:dyDescent="0.3">
      <c r="A24" s="801"/>
      <c r="B24" s="747" t="s">
        <v>3965</v>
      </c>
      <c r="C24" s="754"/>
      <c r="D24" s="754"/>
      <c r="E24" s="754"/>
      <c r="F24" s="754"/>
      <c r="G24" s="754"/>
      <c r="H24" s="754"/>
      <c r="I24" s="754"/>
      <c r="J24" s="754"/>
      <c r="K24" s="754"/>
      <c r="L24" s="754"/>
      <c r="M24" s="754"/>
      <c r="N24" s="754"/>
      <c r="O24" s="754"/>
      <c r="P24" s="754"/>
      <c r="Q24" s="754"/>
      <c r="R24" s="754"/>
      <c r="S24" s="754"/>
      <c r="T24" s="754"/>
      <c r="U24" s="754"/>
      <c r="V24" s="754"/>
      <c r="W24" s="754"/>
      <c r="X24" s="754"/>
      <c r="Y24" s="754"/>
      <c r="Z24" s="754"/>
      <c r="AA24" s="754"/>
      <c r="AB24" s="754"/>
      <c r="AC24" s="754"/>
      <c r="AD24" s="754"/>
      <c r="AE24" s="761"/>
    </row>
    <row r="25" spans="1:31" x14ac:dyDescent="0.3">
      <c r="A25" s="800">
        <v>13</v>
      </c>
      <c r="B25" s="760" t="s">
        <v>3955</v>
      </c>
      <c r="C25" s="756">
        <v>1</v>
      </c>
      <c r="D25" s="756">
        <v>0</v>
      </c>
      <c r="E25" s="756">
        <v>0</v>
      </c>
      <c r="F25" s="756">
        <v>0</v>
      </c>
      <c r="G25" s="756">
        <v>0</v>
      </c>
      <c r="H25" s="756">
        <v>0</v>
      </c>
      <c r="I25" s="756">
        <v>0</v>
      </c>
      <c r="J25" s="756">
        <v>0</v>
      </c>
      <c r="K25" s="756">
        <v>0</v>
      </c>
      <c r="L25" s="756">
        <v>0</v>
      </c>
      <c r="M25" s="756">
        <v>0</v>
      </c>
      <c r="N25" s="756">
        <v>0</v>
      </c>
      <c r="O25" s="756">
        <v>0</v>
      </c>
      <c r="P25" s="756">
        <v>0</v>
      </c>
      <c r="Q25" s="756">
        <v>0</v>
      </c>
      <c r="R25" s="756">
        <v>0</v>
      </c>
      <c r="S25" s="756">
        <v>0</v>
      </c>
      <c r="T25" s="756">
        <v>0</v>
      </c>
      <c r="U25" s="756"/>
      <c r="V25" s="756"/>
      <c r="W25" s="756"/>
      <c r="X25" s="756"/>
      <c r="Y25" s="756"/>
      <c r="Z25" s="756"/>
      <c r="AA25" s="756"/>
      <c r="AB25" s="756"/>
      <c r="AC25" s="756"/>
      <c r="AD25" s="756"/>
      <c r="AE25" s="743">
        <f t="shared" si="1"/>
        <v>1</v>
      </c>
    </row>
    <row r="26" spans="1:31" hidden="1" x14ac:dyDescent="0.3">
      <c r="A26" s="794"/>
      <c r="B26" s="745" t="s">
        <v>3967</v>
      </c>
      <c r="C26" s="749"/>
      <c r="D26" s="749"/>
      <c r="E26" s="749"/>
      <c r="F26" s="749"/>
      <c r="G26" s="749"/>
      <c r="H26" s="749"/>
      <c r="I26" s="749"/>
      <c r="J26" s="749"/>
      <c r="K26" s="749"/>
      <c r="L26" s="749"/>
      <c r="M26" s="749"/>
      <c r="N26" s="749"/>
      <c r="O26" s="749"/>
      <c r="P26" s="749"/>
      <c r="Q26" s="749"/>
      <c r="R26" s="749"/>
      <c r="S26" s="749"/>
      <c r="T26" s="749"/>
      <c r="U26" s="749"/>
      <c r="V26" s="749"/>
      <c r="W26" s="749"/>
      <c r="X26" s="749"/>
      <c r="Y26" s="749"/>
      <c r="Z26" s="749"/>
      <c r="AA26" s="749"/>
      <c r="AB26" s="749"/>
      <c r="AC26" s="749"/>
      <c r="AD26" s="749"/>
      <c r="AE26" s="21"/>
    </row>
    <row r="27" spans="1:31" ht="15" hidden="1" customHeight="1" x14ac:dyDescent="0.3">
      <c r="A27" s="792">
        <v>16</v>
      </c>
      <c r="B27" s="755" t="s">
        <v>3966</v>
      </c>
      <c r="C27" s="756"/>
      <c r="D27" s="756"/>
      <c r="E27" s="756"/>
      <c r="F27" s="756"/>
      <c r="G27" s="756"/>
      <c r="H27" s="756"/>
      <c r="I27" s="756"/>
      <c r="J27" s="756"/>
      <c r="K27" s="756"/>
      <c r="L27" s="756"/>
      <c r="M27" s="756"/>
      <c r="N27" s="756"/>
      <c r="O27" s="756"/>
      <c r="P27" s="756"/>
      <c r="Q27" s="756"/>
      <c r="R27" s="756"/>
      <c r="S27" s="756"/>
      <c r="T27" s="756"/>
      <c r="U27" s="756"/>
      <c r="V27" s="756"/>
      <c r="W27" s="756"/>
      <c r="X27" s="756"/>
      <c r="Y27" s="756"/>
      <c r="Z27" s="756"/>
      <c r="AA27" s="756"/>
      <c r="AB27" s="756"/>
      <c r="AC27" s="756"/>
      <c r="AD27" s="756"/>
      <c r="AE27" s="757">
        <f t="shared" si="1"/>
        <v>0</v>
      </c>
    </row>
    <row r="28" spans="1:31" s="763" customFormat="1" x14ac:dyDescent="0.3">
      <c r="A28" s="795"/>
      <c r="B28" s="745" t="s">
        <v>3976</v>
      </c>
      <c r="C28" s="764">
        <v>6791264</v>
      </c>
      <c r="D28" s="764">
        <v>0</v>
      </c>
      <c r="E28" s="764">
        <v>0</v>
      </c>
      <c r="F28" s="764">
        <v>0</v>
      </c>
      <c r="G28" s="764">
        <v>0</v>
      </c>
      <c r="H28" s="764">
        <v>0</v>
      </c>
      <c r="I28" s="764">
        <v>0</v>
      </c>
      <c r="J28" s="764">
        <v>0</v>
      </c>
      <c r="K28" s="764">
        <v>0</v>
      </c>
      <c r="L28" s="764">
        <v>8393117</v>
      </c>
      <c r="M28" s="764">
        <v>8120744</v>
      </c>
      <c r="N28" s="764">
        <v>0</v>
      </c>
      <c r="O28" s="764">
        <v>0</v>
      </c>
      <c r="P28" s="764">
        <v>0</v>
      </c>
      <c r="Q28" s="764">
        <v>0</v>
      </c>
      <c r="R28" s="764">
        <v>0</v>
      </c>
      <c r="S28" s="764"/>
      <c r="T28" s="764"/>
      <c r="U28" s="764"/>
      <c r="V28" s="764"/>
      <c r="W28" s="764"/>
      <c r="X28" s="764"/>
      <c r="Y28" s="764"/>
      <c r="Z28" s="764"/>
      <c r="AA28" s="764"/>
      <c r="AB28" s="764"/>
      <c r="AC28" s="764"/>
      <c r="AD28" s="764"/>
      <c r="AE28" s="765">
        <f t="shared" si="1"/>
        <v>23305125</v>
      </c>
    </row>
    <row r="29" spans="1:31" x14ac:dyDescent="0.3">
      <c r="A29" s="800">
        <v>17</v>
      </c>
      <c r="B29" s="760" t="s">
        <v>3977</v>
      </c>
      <c r="C29" s="756">
        <f>+C28/$AE$28</f>
        <v>0.29140646102520368</v>
      </c>
      <c r="D29" s="756">
        <f t="shared" ref="D29:T29" si="11">+D28/$AE$28</f>
        <v>0</v>
      </c>
      <c r="E29" s="756">
        <f t="shared" si="11"/>
        <v>0</v>
      </c>
      <c r="F29" s="756">
        <f t="shared" si="11"/>
        <v>0</v>
      </c>
      <c r="G29" s="756">
        <f t="shared" si="11"/>
        <v>0</v>
      </c>
      <c r="H29" s="756">
        <f t="shared" si="11"/>
        <v>0</v>
      </c>
      <c r="I29" s="756">
        <f t="shared" si="11"/>
        <v>0</v>
      </c>
      <c r="J29" s="756">
        <f t="shared" si="11"/>
        <v>0</v>
      </c>
      <c r="K29" s="756">
        <f t="shared" si="11"/>
        <v>0</v>
      </c>
      <c r="L29" s="756">
        <f t="shared" si="11"/>
        <v>0.36014039830294836</v>
      </c>
      <c r="M29" s="756">
        <f t="shared" si="11"/>
        <v>0.34845314067184791</v>
      </c>
      <c r="N29" s="756">
        <f t="shared" si="11"/>
        <v>0</v>
      </c>
      <c r="O29" s="756">
        <f t="shared" si="11"/>
        <v>0</v>
      </c>
      <c r="P29" s="756">
        <f t="shared" si="11"/>
        <v>0</v>
      </c>
      <c r="Q29" s="756">
        <f t="shared" si="11"/>
        <v>0</v>
      </c>
      <c r="R29" s="756">
        <f t="shared" si="11"/>
        <v>0</v>
      </c>
      <c r="S29" s="756">
        <f t="shared" si="11"/>
        <v>0</v>
      </c>
      <c r="T29" s="756">
        <f t="shared" si="11"/>
        <v>0</v>
      </c>
      <c r="U29" s="756"/>
      <c r="V29" s="756"/>
      <c r="W29" s="756"/>
      <c r="X29" s="756"/>
      <c r="Y29" s="756"/>
      <c r="Z29" s="756"/>
      <c r="AA29" s="756"/>
      <c r="AB29" s="756"/>
      <c r="AC29" s="756"/>
      <c r="AD29" s="756"/>
      <c r="AE29" s="756">
        <f t="shared" si="1"/>
        <v>1</v>
      </c>
    </row>
    <row r="30" spans="1:31" x14ac:dyDescent="0.3">
      <c r="A30" s="792">
        <v>18</v>
      </c>
      <c r="B30" s="755" t="s">
        <v>3956</v>
      </c>
      <c r="C30" s="756">
        <v>0</v>
      </c>
      <c r="D30" s="756">
        <v>0</v>
      </c>
      <c r="E30" s="756">
        <v>0</v>
      </c>
      <c r="F30" s="756">
        <v>0.19</v>
      </c>
      <c r="G30" s="756">
        <v>0.25</v>
      </c>
      <c r="H30" s="756">
        <v>0</v>
      </c>
      <c r="I30" s="756">
        <v>0</v>
      </c>
      <c r="J30" s="756">
        <v>0.35</v>
      </c>
      <c r="K30" s="756">
        <v>0</v>
      </c>
      <c r="L30" s="756">
        <v>0.21</v>
      </c>
      <c r="M30" s="756">
        <v>0</v>
      </c>
      <c r="N30" s="756">
        <v>0</v>
      </c>
      <c r="O30" s="756">
        <v>0</v>
      </c>
      <c r="P30" s="756">
        <v>0</v>
      </c>
      <c r="Q30" s="756">
        <v>0</v>
      </c>
      <c r="R30" s="756">
        <v>0</v>
      </c>
      <c r="S30" s="756">
        <v>0</v>
      </c>
      <c r="T30" s="756">
        <v>0</v>
      </c>
      <c r="U30" s="756"/>
      <c r="V30" s="756"/>
      <c r="W30" s="756"/>
      <c r="X30" s="756"/>
      <c r="Y30" s="756"/>
      <c r="Z30" s="756"/>
      <c r="AA30" s="756"/>
      <c r="AB30" s="756"/>
      <c r="AC30" s="756"/>
      <c r="AD30" s="756"/>
      <c r="AE30" s="757">
        <f t="shared" si="1"/>
        <v>1</v>
      </c>
    </row>
    <row r="34" spans="17:17" x14ac:dyDescent="0.3">
      <c r="Q34" s="784">
        <f>+R22+U22+AB22+AC22+AD22</f>
        <v>1195176</v>
      </c>
    </row>
  </sheetData>
  <pageMargins left="0.70866141732283472" right="0.70866141732283472" top="0.74803149606299213" bottom="0.74803149606299213" header="0.31496062992125984" footer="0.31496062992125984"/>
  <pageSetup paperSize="9" scale="31" orientation="landscape" r:id="rId1"/>
  <headerFooter>
    <oddHeader>&amp;L&amp;"Garamond,Félkövér"&amp;20 1. b) melléklet - Pedagógiai és Pszichológiai Kar /Szombathely/
2021. évi belső költségvetése során alkalmazott felosztási algoritmusok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2:AR81"/>
  <sheetViews>
    <sheetView zoomScale="85" zoomScaleNormal="85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4" sqref="A4:C81"/>
    </sheetView>
  </sheetViews>
  <sheetFormatPr defaultRowHeight="15.6" x14ac:dyDescent="0.3"/>
  <cols>
    <col min="1" max="1" width="10.21875" style="15" customWidth="1"/>
    <col min="2" max="2" width="138.33203125" customWidth="1"/>
    <col min="3" max="3" width="15.6640625" customWidth="1"/>
    <col min="4" max="44" width="8.88671875" style="2"/>
  </cols>
  <sheetData>
    <row r="2" spans="1:3" x14ac:dyDescent="0.3">
      <c r="A2" s="15" t="s">
        <v>2727</v>
      </c>
      <c r="B2" t="s">
        <v>2808</v>
      </c>
    </row>
    <row r="4" spans="1:3" x14ac:dyDescent="0.3">
      <c r="A4" s="15" t="s">
        <v>2734</v>
      </c>
      <c r="B4" s="3" t="s">
        <v>58</v>
      </c>
      <c r="C4" t="s">
        <v>3633</v>
      </c>
    </row>
    <row r="5" spans="1:3" x14ac:dyDescent="0.3">
      <c r="A5" s="15" t="s">
        <v>2857</v>
      </c>
      <c r="B5" s="15" t="s">
        <v>762</v>
      </c>
      <c r="C5" s="16">
        <v>-191715083.87766045</v>
      </c>
    </row>
    <row r="6" spans="1:3" x14ac:dyDescent="0.3">
      <c r="A6" s="15" t="s">
        <v>2857</v>
      </c>
      <c r="B6" s="15" t="s">
        <v>2861</v>
      </c>
      <c r="C6" s="16">
        <v>553682093.97319067</v>
      </c>
    </row>
    <row r="7" spans="1:3" x14ac:dyDescent="0.3">
      <c r="A7" s="15" t="s">
        <v>2814</v>
      </c>
      <c r="B7" s="15" t="s">
        <v>2571</v>
      </c>
      <c r="C7" s="16">
        <v>11364747.714590909</v>
      </c>
    </row>
    <row r="8" spans="1:3" x14ac:dyDescent="0.3">
      <c r="A8" s="15" t="s">
        <v>2815</v>
      </c>
      <c r="B8" s="15" t="s">
        <v>771</v>
      </c>
      <c r="C8" s="16">
        <v>-9668163.2498108186</v>
      </c>
    </row>
    <row r="9" spans="1:3" x14ac:dyDescent="0.3">
      <c r="A9" s="15" t="s">
        <v>2815</v>
      </c>
      <c r="B9" s="15" t="s">
        <v>2862</v>
      </c>
      <c r="C9" s="16">
        <v>61515000.00000003</v>
      </c>
    </row>
    <row r="10" spans="1:3" x14ac:dyDescent="0.3">
      <c r="A10" s="15" t="s">
        <v>2816</v>
      </c>
      <c r="B10" s="15" t="s">
        <v>2574</v>
      </c>
      <c r="C10" s="16">
        <v>6059504.2202798137</v>
      </c>
    </row>
    <row r="11" spans="1:3" x14ac:dyDescent="0.3">
      <c r="A11" s="15" t="s">
        <v>2818</v>
      </c>
      <c r="B11" s="15" t="s">
        <v>2583</v>
      </c>
      <c r="C11" s="16">
        <v>-636759.61435942852</v>
      </c>
    </row>
    <row r="12" spans="1:3" x14ac:dyDescent="0.3">
      <c r="A12" s="15" t="s">
        <v>2818</v>
      </c>
      <c r="B12" s="15" t="s">
        <v>2863</v>
      </c>
      <c r="C12" s="16">
        <v>-1.7271668184548616E-6</v>
      </c>
    </row>
    <row r="13" spans="1:3" x14ac:dyDescent="0.3">
      <c r="A13" s="15" t="s">
        <v>2819</v>
      </c>
      <c r="B13" s="15" t="s">
        <v>2582</v>
      </c>
      <c r="C13" s="16">
        <v>19810.919275392615</v>
      </c>
    </row>
    <row r="14" spans="1:3" x14ac:dyDescent="0.3">
      <c r="A14" s="15" t="s">
        <v>2817</v>
      </c>
      <c r="B14" s="15" t="s">
        <v>20</v>
      </c>
      <c r="C14" s="16">
        <v>12231887</v>
      </c>
    </row>
    <row r="15" spans="1:3" x14ac:dyDescent="0.3">
      <c r="A15" t="s">
        <v>3268</v>
      </c>
      <c r="B15" t="s">
        <v>23</v>
      </c>
      <c r="C15" s="16">
        <v>79837000</v>
      </c>
    </row>
    <row r="16" spans="1:3" x14ac:dyDescent="0.3">
      <c r="A16" t="s">
        <v>3269</v>
      </c>
      <c r="B16" t="s">
        <v>3228</v>
      </c>
      <c r="C16" s="16">
        <v>158670985</v>
      </c>
    </row>
    <row r="17" spans="1:44" s="15" customFormat="1" x14ac:dyDescent="0.3">
      <c r="A17" s="15" t="s">
        <v>3793</v>
      </c>
      <c r="B17" s="15" t="s">
        <v>3751</v>
      </c>
      <c r="C17" s="16">
        <v>89133393</v>
      </c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</row>
    <row r="18" spans="1:44" s="15" customFormat="1" x14ac:dyDescent="0.3">
      <c r="A18" s="15" t="s">
        <v>3794</v>
      </c>
      <c r="B18" s="15" t="s">
        <v>3752</v>
      </c>
      <c r="C18" s="16">
        <v>12664787.593646189</v>
      </c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</row>
    <row r="19" spans="1:44" x14ac:dyDescent="0.3">
      <c r="A19" t="s">
        <v>3570</v>
      </c>
      <c r="B19" t="s">
        <v>773</v>
      </c>
      <c r="C19" s="16">
        <v>0</v>
      </c>
    </row>
    <row r="20" spans="1:44" x14ac:dyDescent="0.3">
      <c r="A20" t="s">
        <v>3740</v>
      </c>
      <c r="B20" t="s">
        <v>808</v>
      </c>
      <c r="C20" s="16">
        <v>119305000</v>
      </c>
    </row>
    <row r="21" spans="1:44" x14ac:dyDescent="0.3">
      <c r="A21" t="s">
        <v>3741</v>
      </c>
      <c r="B21" t="s">
        <v>809</v>
      </c>
      <c r="C21" s="16">
        <v>8344435.7976653697</v>
      </c>
    </row>
    <row r="22" spans="1:44" x14ac:dyDescent="0.3">
      <c r="A22" t="s">
        <v>3742</v>
      </c>
      <c r="B22" t="s">
        <v>810</v>
      </c>
      <c r="C22" s="16">
        <v>3410456.8725195429</v>
      </c>
    </row>
    <row r="23" spans="1:44" x14ac:dyDescent="0.3">
      <c r="A23" t="s">
        <v>3743</v>
      </c>
      <c r="B23" t="s">
        <v>772</v>
      </c>
      <c r="C23" s="16">
        <v>11582833</v>
      </c>
    </row>
    <row r="24" spans="1:44" x14ac:dyDescent="0.3">
      <c r="A24" t="s">
        <v>3744</v>
      </c>
      <c r="B24" t="s">
        <v>3453</v>
      </c>
      <c r="C24" s="16">
        <v>20117060</v>
      </c>
    </row>
    <row r="25" spans="1:44" x14ac:dyDescent="0.3">
      <c r="A25" t="s">
        <v>3745</v>
      </c>
      <c r="B25" t="s">
        <v>821</v>
      </c>
      <c r="C25" s="16">
        <v>21500000</v>
      </c>
    </row>
    <row r="26" spans="1:44" x14ac:dyDescent="0.3">
      <c r="A26" s="15" t="s">
        <v>2820</v>
      </c>
      <c r="B26" s="15" t="s">
        <v>25</v>
      </c>
      <c r="C26" s="16">
        <v>967418988.56411517</v>
      </c>
    </row>
    <row r="27" spans="1:44" x14ac:dyDescent="0.3">
      <c r="A27" s="15" t="s">
        <v>2821</v>
      </c>
      <c r="B27" t="s">
        <v>3753</v>
      </c>
      <c r="C27" s="16">
        <v>-188646702.77000245</v>
      </c>
    </row>
    <row r="28" spans="1:44" x14ac:dyDescent="0.3">
      <c r="A28" s="15" t="s">
        <v>2822</v>
      </c>
      <c r="B28" t="s">
        <v>3284</v>
      </c>
      <c r="C28" s="16">
        <v>-4837094.942820576</v>
      </c>
    </row>
    <row r="29" spans="1:44" x14ac:dyDescent="0.3">
      <c r="A29" s="15" t="s">
        <v>2823</v>
      </c>
      <c r="B29" s="15" t="s">
        <v>26</v>
      </c>
      <c r="C29" s="16">
        <v>-14511284.828461727</v>
      </c>
    </row>
    <row r="30" spans="1:44" x14ac:dyDescent="0.3">
      <c r="A30" s="15" t="s">
        <v>2824</v>
      </c>
      <c r="B30" s="15" t="s">
        <v>27</v>
      </c>
      <c r="C30" s="16">
        <v>14511284.828461727</v>
      </c>
    </row>
    <row r="31" spans="1:44" x14ac:dyDescent="0.3">
      <c r="A31" s="15" t="s">
        <v>2825</v>
      </c>
      <c r="B31" t="s">
        <v>3754</v>
      </c>
      <c r="C31" s="16">
        <v>-9945198.5999999996</v>
      </c>
    </row>
    <row r="32" spans="1:44" x14ac:dyDescent="0.3">
      <c r="A32" s="15" t="s">
        <v>2825</v>
      </c>
      <c r="B32" t="s">
        <v>3755</v>
      </c>
      <c r="C32" s="16">
        <v>2965575</v>
      </c>
    </row>
    <row r="33" spans="1:44" x14ac:dyDescent="0.3">
      <c r="A33" s="15" t="s">
        <v>2880</v>
      </c>
      <c r="B33" t="s">
        <v>3756</v>
      </c>
      <c r="C33" s="16">
        <v>-16800287</v>
      </c>
    </row>
    <row r="34" spans="1:44" x14ac:dyDescent="0.3">
      <c r="A34" s="15" t="s">
        <v>2826</v>
      </c>
      <c r="B34" s="15" t="s">
        <v>30</v>
      </c>
      <c r="C34" s="16">
        <v>-42158065</v>
      </c>
    </row>
    <row r="35" spans="1:44" x14ac:dyDescent="0.3">
      <c r="A35" s="15" t="s">
        <v>2827</v>
      </c>
      <c r="B35" t="s">
        <v>2679</v>
      </c>
      <c r="C35" s="16">
        <v>0</v>
      </c>
    </row>
    <row r="36" spans="1:44" x14ac:dyDescent="0.3">
      <c r="A36" s="15" t="s">
        <v>2828</v>
      </c>
      <c r="B36" t="s">
        <v>2680</v>
      </c>
      <c r="C36" s="16">
        <v>0</v>
      </c>
    </row>
    <row r="37" spans="1:44" s="15" customFormat="1" x14ac:dyDescent="0.3">
      <c r="A37" s="15" t="s">
        <v>3897</v>
      </c>
      <c r="B37" s="15" t="s">
        <v>2681</v>
      </c>
      <c r="C37" s="16">
        <v>-1268176</v>
      </c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</row>
    <row r="38" spans="1:44" s="15" customFormat="1" x14ac:dyDescent="0.3">
      <c r="A38" s="15" t="s">
        <v>3898</v>
      </c>
      <c r="B38" s="15" t="s">
        <v>3758</v>
      </c>
      <c r="C38" s="16">
        <v>-10131830.074916951</v>
      </c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</row>
    <row r="39" spans="1:44" x14ac:dyDescent="0.3">
      <c r="A39" s="15" t="s">
        <v>2829</v>
      </c>
      <c r="B39" s="15" t="s">
        <v>31</v>
      </c>
      <c r="C39" s="16">
        <v>-95377</v>
      </c>
    </row>
    <row r="40" spans="1:44" x14ac:dyDescent="0.3">
      <c r="A40" s="786" t="s">
        <v>2830</v>
      </c>
      <c r="B40" s="786" t="s">
        <v>32</v>
      </c>
      <c r="C40" s="787">
        <v>696501832.17637515</v>
      </c>
    </row>
    <row r="41" spans="1:44" x14ac:dyDescent="0.3">
      <c r="A41" s="15" t="s">
        <v>2831</v>
      </c>
      <c r="B41" s="15" t="s">
        <v>2</v>
      </c>
      <c r="C41" s="16">
        <v>56159666</v>
      </c>
    </row>
    <row r="42" spans="1:44" x14ac:dyDescent="0.3">
      <c r="A42" s="15" t="s">
        <v>2832</v>
      </c>
      <c r="B42" s="15" t="s">
        <v>2801</v>
      </c>
      <c r="C42" s="16">
        <v>752661498.17637515</v>
      </c>
    </row>
    <row r="43" spans="1:44" x14ac:dyDescent="0.3">
      <c r="A43" t="s">
        <v>3581</v>
      </c>
      <c r="B43" t="s">
        <v>3770</v>
      </c>
      <c r="C43" s="16">
        <v>1967164.0522306</v>
      </c>
    </row>
    <row r="44" spans="1:44" x14ac:dyDescent="0.3">
      <c r="A44" t="s">
        <v>3582</v>
      </c>
      <c r="B44" t="s">
        <v>3772</v>
      </c>
      <c r="C44" s="16">
        <v>0</v>
      </c>
    </row>
    <row r="45" spans="1:44" x14ac:dyDescent="0.3">
      <c r="A45" t="s">
        <v>3582</v>
      </c>
      <c r="B45" t="s">
        <v>3774</v>
      </c>
      <c r="C45" s="16">
        <v>-1687538.279215849</v>
      </c>
    </row>
    <row r="46" spans="1:44" x14ac:dyDescent="0.3">
      <c r="A46" t="s">
        <v>3582</v>
      </c>
      <c r="B46" t="s">
        <v>3776</v>
      </c>
      <c r="C46" s="16">
        <v>0</v>
      </c>
    </row>
    <row r="47" spans="1:44" x14ac:dyDescent="0.3">
      <c r="A47" t="s">
        <v>3585</v>
      </c>
      <c r="B47" t="s">
        <v>762</v>
      </c>
      <c r="C47" s="16">
        <v>-13384460.051352993</v>
      </c>
    </row>
    <row r="48" spans="1:44" x14ac:dyDescent="0.3">
      <c r="A48" t="s">
        <v>3585</v>
      </c>
      <c r="B48" t="s">
        <v>2861</v>
      </c>
      <c r="C48" s="16">
        <v>38654944.191364057</v>
      </c>
    </row>
    <row r="49" spans="1:44" x14ac:dyDescent="0.3">
      <c r="A49" t="s">
        <v>3583</v>
      </c>
      <c r="B49" t="s">
        <v>2571</v>
      </c>
      <c r="C49" s="16">
        <v>793422.24254359747</v>
      </c>
    </row>
    <row r="50" spans="1:44" x14ac:dyDescent="0.3">
      <c r="A50" t="s">
        <v>3584</v>
      </c>
      <c r="B50" t="s">
        <v>3252</v>
      </c>
      <c r="C50" s="16">
        <v>0</v>
      </c>
    </row>
    <row r="51" spans="1:44" x14ac:dyDescent="0.3">
      <c r="A51" t="s">
        <v>3270</v>
      </c>
      <c r="B51" t="s">
        <v>3587</v>
      </c>
      <c r="C51" s="16">
        <v>0</v>
      </c>
    </row>
    <row r="52" spans="1:44" x14ac:dyDescent="0.3">
      <c r="A52" t="s">
        <v>3271</v>
      </c>
      <c r="B52" t="s">
        <v>2584</v>
      </c>
      <c r="C52" s="16">
        <v>0</v>
      </c>
    </row>
    <row r="53" spans="1:44" x14ac:dyDescent="0.3">
      <c r="A53" t="s">
        <v>3271</v>
      </c>
      <c r="B53" t="s">
        <v>2860</v>
      </c>
      <c r="C53" s="16">
        <v>0</v>
      </c>
    </row>
    <row r="54" spans="1:44" x14ac:dyDescent="0.3">
      <c r="A54" t="s">
        <v>3272</v>
      </c>
      <c r="B54" t="s">
        <v>2586</v>
      </c>
      <c r="C54" s="16">
        <v>3179246.5390269402</v>
      </c>
    </row>
    <row r="55" spans="1:44" x14ac:dyDescent="0.3">
      <c r="A55" s="15" t="s">
        <v>2833</v>
      </c>
      <c r="B55" t="s">
        <v>3254</v>
      </c>
      <c r="C55" s="16">
        <v>0</v>
      </c>
    </row>
    <row r="56" spans="1:44" s="15" customFormat="1" x14ac:dyDescent="0.3">
      <c r="A56" s="15" t="s">
        <v>3831</v>
      </c>
      <c r="B56" s="15" t="s">
        <v>3830</v>
      </c>
      <c r="C56" s="16">
        <v>26813048.564696051</v>
      </c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</row>
    <row r="57" spans="1:44" x14ac:dyDescent="0.3">
      <c r="A57" s="15" t="s">
        <v>2834</v>
      </c>
      <c r="B57" t="s">
        <v>3889</v>
      </c>
      <c r="C57" s="16">
        <v>-5756941.860737876</v>
      </c>
    </row>
    <row r="58" spans="1:44" x14ac:dyDescent="0.3">
      <c r="A58" s="15" t="s">
        <v>2835</v>
      </c>
      <c r="B58" t="s">
        <v>3288</v>
      </c>
      <c r="C58" s="16">
        <v>-147613.89386507374</v>
      </c>
    </row>
    <row r="59" spans="1:44" x14ac:dyDescent="0.3">
      <c r="A59" s="15" t="s">
        <v>2837</v>
      </c>
      <c r="B59" t="s">
        <v>34</v>
      </c>
      <c r="C59" s="16">
        <v>-442841.68159522116</v>
      </c>
    </row>
    <row r="60" spans="1:44" x14ac:dyDescent="0.3">
      <c r="A60" t="s">
        <v>3273</v>
      </c>
      <c r="B60" t="s">
        <v>27</v>
      </c>
      <c r="C60" s="16">
        <v>442841.68159522116</v>
      </c>
    </row>
    <row r="61" spans="1:44" x14ac:dyDescent="0.3">
      <c r="A61" t="s">
        <v>3274</v>
      </c>
      <c r="B61" t="s">
        <v>37</v>
      </c>
      <c r="C61" s="785">
        <v>69502.264999999999</v>
      </c>
    </row>
    <row r="62" spans="1:44" x14ac:dyDescent="0.3">
      <c r="A62" s="15" t="s">
        <v>2864</v>
      </c>
      <c r="B62" s="15" t="s">
        <v>2659</v>
      </c>
      <c r="C62" s="785">
        <v>0</v>
      </c>
    </row>
    <row r="63" spans="1:44" x14ac:dyDescent="0.3">
      <c r="A63" s="15" t="s">
        <v>2836</v>
      </c>
      <c r="B63" s="15" t="s">
        <v>35</v>
      </c>
      <c r="C63" s="16">
        <v>803092769.75948298</v>
      </c>
    </row>
    <row r="64" spans="1:44" x14ac:dyDescent="0.3">
      <c r="A64" s="15" t="s">
        <v>2838</v>
      </c>
      <c r="B64" s="15" t="s">
        <v>2735</v>
      </c>
      <c r="C64" s="16">
        <v>644907708.20547938</v>
      </c>
    </row>
    <row r="65" spans="1:3" x14ac:dyDescent="0.3">
      <c r="A65" s="15" t="s">
        <v>2841</v>
      </c>
      <c r="B65" s="15" t="s">
        <v>2718</v>
      </c>
      <c r="C65" s="16">
        <v>3678651.0989999999</v>
      </c>
    </row>
    <row r="66" spans="1:3" x14ac:dyDescent="0.3">
      <c r="A66" s="15" t="s">
        <v>2843</v>
      </c>
      <c r="B66" s="15" t="s">
        <v>2720</v>
      </c>
      <c r="C66" s="16">
        <v>0</v>
      </c>
    </row>
    <row r="67" spans="1:3" x14ac:dyDescent="0.3">
      <c r="A67" s="15" t="s">
        <v>2845</v>
      </c>
      <c r="B67" s="15" t="s">
        <v>2592</v>
      </c>
      <c r="C67" s="16">
        <v>0</v>
      </c>
    </row>
    <row r="68" spans="1:3" x14ac:dyDescent="0.3">
      <c r="A68" s="15" t="s">
        <v>2839</v>
      </c>
      <c r="B68" s="15" t="s">
        <v>2728</v>
      </c>
      <c r="C68" s="16">
        <v>17179456.581818178</v>
      </c>
    </row>
    <row r="69" spans="1:3" x14ac:dyDescent="0.3">
      <c r="A69" s="15" t="s">
        <v>2840</v>
      </c>
      <c r="B69" s="15" t="s">
        <v>2717</v>
      </c>
      <c r="C69" s="16">
        <v>186222508.57427913</v>
      </c>
    </row>
    <row r="70" spans="1:3" x14ac:dyDescent="0.3">
      <c r="A70" s="15" t="s">
        <v>2842</v>
      </c>
      <c r="B70" s="15" t="s">
        <v>2719</v>
      </c>
      <c r="C70" s="16">
        <v>0</v>
      </c>
    </row>
    <row r="71" spans="1:3" x14ac:dyDescent="0.3">
      <c r="A71" s="15" t="s">
        <v>2844</v>
      </c>
      <c r="B71" t="s">
        <v>3255</v>
      </c>
      <c r="C71" s="16">
        <v>0</v>
      </c>
    </row>
    <row r="72" spans="1:3" x14ac:dyDescent="0.3">
      <c r="A72" s="15" t="s">
        <v>2846</v>
      </c>
      <c r="B72" s="15" t="s">
        <v>2706</v>
      </c>
      <c r="C72" s="16"/>
    </row>
    <row r="73" spans="1:3" x14ac:dyDescent="0.3">
      <c r="A73" s="15" t="s">
        <v>2847</v>
      </c>
      <c r="B73" s="15" t="s">
        <v>2802</v>
      </c>
      <c r="C73" s="16">
        <v>872875218.40327919</v>
      </c>
    </row>
    <row r="74" spans="1:3" x14ac:dyDescent="0.3">
      <c r="A74" s="15" t="s">
        <v>2914</v>
      </c>
      <c r="B74" s="15" t="s">
        <v>3207</v>
      </c>
      <c r="C74" s="16">
        <v>-69712946.378796205</v>
      </c>
    </row>
    <row r="75" spans="1:3" x14ac:dyDescent="0.3">
      <c r="A75" s="15" t="s">
        <v>2848</v>
      </c>
      <c r="B75" t="s">
        <v>3575</v>
      </c>
      <c r="C75" s="16">
        <v>748352636.13815761</v>
      </c>
    </row>
    <row r="76" spans="1:3" x14ac:dyDescent="0.3">
      <c r="A76" s="15" t="s">
        <v>2849</v>
      </c>
      <c r="B76" s="15" t="s">
        <v>2698</v>
      </c>
      <c r="C76" s="16">
        <v>54809635.376627319</v>
      </c>
    </row>
    <row r="77" spans="1:3" x14ac:dyDescent="0.3">
      <c r="A77" s="15" t="s">
        <v>2851</v>
      </c>
      <c r="B77" t="s">
        <v>3578</v>
      </c>
      <c r="C77" s="16">
        <v>803162271.51478493</v>
      </c>
    </row>
    <row r="78" spans="1:3" x14ac:dyDescent="0.3">
      <c r="A78" s="15" t="s">
        <v>2852</v>
      </c>
      <c r="B78" t="s">
        <v>3579</v>
      </c>
      <c r="C78" s="16">
        <v>825783282.40327919</v>
      </c>
    </row>
    <row r="79" spans="1:3" x14ac:dyDescent="0.3">
      <c r="A79" s="15" t="s">
        <v>2850</v>
      </c>
      <c r="B79" s="15" t="s">
        <v>2708</v>
      </c>
      <c r="C79" s="16">
        <v>47091935.999999985</v>
      </c>
    </row>
    <row r="80" spans="1:3" x14ac:dyDescent="0.3">
      <c r="A80" s="15" t="s">
        <v>2853</v>
      </c>
      <c r="B80" s="15" t="s">
        <v>2709</v>
      </c>
      <c r="C80" s="16">
        <v>872875218.40327919</v>
      </c>
    </row>
    <row r="81" spans="1:3" x14ac:dyDescent="0.3">
      <c r="A81" s="15" t="s">
        <v>2854</v>
      </c>
      <c r="B81" s="15" t="s">
        <v>2690</v>
      </c>
      <c r="C81" s="16">
        <v>-69712946.888494253</v>
      </c>
    </row>
  </sheetData>
  <pageMargins left="0.70866141732283472" right="0.70866141732283472" top="0.94488188976377963" bottom="0.74803149606299213" header="0.31496062992125984" footer="0.31496062992125984"/>
  <pageSetup paperSize="8" scale="99" orientation="portrait" r:id="rId2"/>
  <headerFooter>
    <oddHeader>&amp;L&amp;"Garamond,Félkövér"&amp;20 2. melléklet - Pedagógiai és Pszichológiai Kar /Szombathely/
forrásainak és kiadásainak alakulása a 2021. évi költségvetésben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H39"/>
  <sheetViews>
    <sheetView zoomScale="85" zoomScaleNormal="85" workbookViewId="0">
      <selection activeCell="E39" sqref="E39"/>
    </sheetView>
  </sheetViews>
  <sheetFormatPr defaultColWidth="7.77734375" defaultRowHeight="14.4" x14ac:dyDescent="0.3"/>
  <cols>
    <col min="1" max="1" width="7.109375" style="265" customWidth="1"/>
    <col min="2" max="2" width="46.109375" style="265" customWidth="1"/>
    <col min="3" max="3" width="14.21875" style="265" bestFit="1" customWidth="1"/>
    <col min="4" max="4" width="17.77734375" style="265" customWidth="1"/>
    <col min="5" max="5" width="22.44140625" style="265" customWidth="1"/>
    <col min="6" max="6" width="14.21875" style="265" customWidth="1"/>
    <col min="7" max="7" width="21.77734375" style="265" hidden="1" customWidth="1"/>
    <col min="8" max="16384" width="7.77734375" style="265"/>
  </cols>
  <sheetData>
    <row r="1" spans="1:7" ht="21" customHeight="1" x14ac:dyDescent="0.3">
      <c r="A1" s="1094" t="s">
        <v>3634</v>
      </c>
      <c r="B1" s="1094"/>
      <c r="C1" s="1094"/>
      <c r="D1" s="1094"/>
      <c r="E1" s="1094"/>
      <c r="F1" s="1094"/>
      <c r="G1" s="1094"/>
    </row>
    <row r="2" spans="1:7" ht="21" customHeight="1" x14ac:dyDescent="0.3">
      <c r="A2" s="1094"/>
      <c r="B2" s="1094"/>
      <c r="C2" s="1094"/>
      <c r="D2" s="1094"/>
      <c r="E2" s="1094"/>
      <c r="F2" s="1094"/>
      <c r="G2" s="1094"/>
    </row>
    <row r="4" spans="1:7" s="974" customFormat="1" ht="15.6" x14ac:dyDescent="0.3">
      <c r="A4" s="973" t="s">
        <v>3123</v>
      </c>
    </row>
    <row r="5" spans="1:7" ht="15" thickBot="1" x14ac:dyDescent="0.35"/>
    <row r="6" spans="1:7" s="734" customFormat="1" ht="16.2" thickBot="1" x14ac:dyDescent="0.35">
      <c r="A6" s="864" t="s">
        <v>3124</v>
      </c>
      <c r="B6" s="865"/>
      <c r="C6" s="865"/>
      <c r="D6" s="866"/>
      <c r="E6" s="867"/>
      <c r="F6" s="868"/>
      <c r="G6" s="868"/>
    </row>
    <row r="7" spans="1:7" customFormat="1" ht="40.200000000000003" thickBot="1" x14ac:dyDescent="0.35">
      <c r="A7" s="869" t="s">
        <v>752</v>
      </c>
      <c r="B7" s="1110" t="s">
        <v>3125</v>
      </c>
      <c r="C7" s="1111"/>
      <c r="D7" s="870" t="s">
        <v>3126</v>
      </c>
      <c r="E7" s="871" t="s">
        <v>3127</v>
      </c>
      <c r="F7" s="868"/>
      <c r="G7" s="868"/>
    </row>
    <row r="8" spans="1:7" customFormat="1" ht="15.6" x14ac:dyDescent="0.3">
      <c r="A8" s="872" t="s">
        <v>784</v>
      </c>
      <c r="B8" s="1112" t="s">
        <v>3910</v>
      </c>
      <c r="C8" s="1113"/>
      <c r="D8" s="953">
        <v>25565000</v>
      </c>
      <c r="E8" s="873"/>
      <c r="F8" s="868"/>
      <c r="G8" s="868"/>
    </row>
    <row r="9" spans="1:7" customFormat="1" ht="15.6" x14ac:dyDescent="0.3">
      <c r="A9" s="872" t="s">
        <v>784</v>
      </c>
      <c r="B9" s="1103" t="s">
        <v>3911</v>
      </c>
      <c r="C9" s="1104"/>
      <c r="D9" s="954">
        <v>28800000</v>
      </c>
      <c r="E9" s="874"/>
      <c r="F9" s="868"/>
      <c r="G9" s="868"/>
    </row>
    <row r="10" spans="1:7" customFormat="1" ht="15.6" x14ac:dyDescent="0.3">
      <c r="A10" s="872" t="s">
        <v>784</v>
      </c>
      <c r="B10" s="1103" t="s">
        <v>3912</v>
      </c>
      <c r="C10" s="1104"/>
      <c r="D10" s="954">
        <v>6300000</v>
      </c>
      <c r="E10" s="874"/>
      <c r="F10" s="868"/>
      <c r="G10" s="868"/>
    </row>
    <row r="11" spans="1:7" customFormat="1" ht="16.2" thickBot="1" x14ac:dyDescent="0.35">
      <c r="A11" s="872" t="s">
        <v>784</v>
      </c>
      <c r="B11" s="1103" t="s">
        <v>3913</v>
      </c>
      <c r="C11" s="1104"/>
      <c r="D11" s="954">
        <v>850000</v>
      </c>
      <c r="E11" s="874"/>
      <c r="F11" s="868"/>
      <c r="G11" s="868"/>
    </row>
    <row r="12" spans="1:7" s="737" customFormat="1" ht="16.2" thickBot="1" x14ac:dyDescent="0.35">
      <c r="A12" s="1105" t="s">
        <v>2602</v>
      </c>
      <c r="B12" s="1106"/>
      <c r="C12" s="1107"/>
      <c r="D12" s="955">
        <f>SUM(D8:D11)</f>
        <v>61515000</v>
      </c>
      <c r="E12" s="875"/>
      <c r="F12" s="876"/>
      <c r="G12" s="876"/>
    </row>
    <row r="13" spans="1:7" s="267" customFormat="1" ht="16.2" thickBot="1" x14ac:dyDescent="0.35">
      <c r="A13" s="877"/>
      <c r="B13" s="878"/>
      <c r="C13" s="878"/>
      <c r="D13" s="878"/>
      <c r="E13" s="878"/>
      <c r="F13" s="878"/>
      <c r="G13" s="878"/>
    </row>
    <row r="14" spans="1:7" s="267" customFormat="1" ht="15.6" x14ac:dyDescent="0.3">
      <c r="A14" s="864" t="s">
        <v>3128</v>
      </c>
      <c r="B14" s="865"/>
      <c r="C14" s="865"/>
      <c r="D14" s="866"/>
      <c r="E14" s="949"/>
      <c r="F14" s="878"/>
      <c r="G14" s="878"/>
    </row>
    <row r="15" spans="1:7" s="267" customFormat="1" ht="15.6" x14ac:dyDescent="0.3">
      <c r="A15" s="879"/>
      <c r="B15" s="880" t="s">
        <v>122</v>
      </c>
      <c r="C15" s="880" t="s">
        <v>60</v>
      </c>
      <c r="D15" s="906" t="s">
        <v>2602</v>
      </c>
      <c r="E15" s="950" t="s">
        <v>784</v>
      </c>
      <c r="F15" s="878"/>
      <c r="G15" s="878"/>
    </row>
    <row r="16" spans="1:7" s="267" customFormat="1" ht="15.6" x14ac:dyDescent="0.3">
      <c r="A16" s="872" t="s">
        <v>784</v>
      </c>
      <c r="B16" s="872" t="s">
        <v>3914</v>
      </c>
      <c r="C16" s="881" t="s">
        <v>3915</v>
      </c>
      <c r="D16" s="907">
        <v>32872449.066666666</v>
      </c>
      <c r="E16" s="951">
        <v>7231887</v>
      </c>
      <c r="F16" s="878"/>
      <c r="G16" s="878"/>
    </row>
    <row r="17" spans="1:8" s="267" customFormat="1" ht="15.6" hidden="1" x14ac:dyDescent="0.3">
      <c r="A17" s="872" t="s">
        <v>784</v>
      </c>
      <c r="B17" s="872" t="s">
        <v>3914</v>
      </c>
      <c r="C17" s="882" t="s">
        <v>3916</v>
      </c>
      <c r="D17" s="908">
        <v>330000</v>
      </c>
      <c r="E17" s="950"/>
      <c r="F17" s="878"/>
      <c r="G17" s="878"/>
    </row>
    <row r="18" spans="1:8" s="267" customFormat="1" ht="15.6" hidden="1" x14ac:dyDescent="0.3">
      <c r="A18" s="872" t="s">
        <v>784</v>
      </c>
      <c r="B18" s="872" t="s">
        <v>3917</v>
      </c>
      <c r="C18" s="882" t="s">
        <v>3915</v>
      </c>
      <c r="D18" s="908">
        <v>23440000</v>
      </c>
      <c r="E18" s="950"/>
      <c r="F18" s="878"/>
      <c r="G18" s="878"/>
    </row>
    <row r="19" spans="1:8" s="266" customFormat="1" ht="15.6" hidden="1" x14ac:dyDescent="0.3">
      <c r="A19" s="872" t="s">
        <v>784</v>
      </c>
      <c r="B19" s="872" t="s">
        <v>3917</v>
      </c>
      <c r="C19" s="882" t="s">
        <v>3916</v>
      </c>
      <c r="D19" s="908">
        <v>150000</v>
      </c>
      <c r="E19" s="950"/>
      <c r="F19" s="883"/>
      <c r="G19" s="883"/>
    </row>
    <row r="20" spans="1:8" ht="15" thickBot="1" x14ac:dyDescent="0.35">
      <c r="A20" s="942" t="s">
        <v>784</v>
      </c>
      <c r="B20" s="942" t="s">
        <v>3918</v>
      </c>
      <c r="C20" s="943" t="s">
        <v>3622</v>
      </c>
      <c r="D20" s="944">
        <v>5000000</v>
      </c>
      <c r="E20" s="952">
        <v>5000000</v>
      </c>
      <c r="F20" s="883"/>
      <c r="G20" s="883"/>
    </row>
    <row r="21" spans="1:8" s="948" customFormat="1" ht="15.6" customHeight="1" thickBot="1" x14ac:dyDescent="0.3">
      <c r="A21" s="1091" t="s">
        <v>2602</v>
      </c>
      <c r="B21" s="1092"/>
      <c r="C21" s="1093"/>
      <c r="D21" s="945">
        <f>SUM(D16:D20)</f>
        <v>61792449.066666663</v>
      </c>
      <c r="E21" s="946">
        <f>SUM(E16:E20)</f>
        <v>12231887</v>
      </c>
      <c r="F21" s="947"/>
      <c r="G21" s="947"/>
    </row>
    <row r="22" spans="1:8" s="979" customFormat="1" ht="15.6" customHeight="1" x14ac:dyDescent="0.25">
      <c r="A22" s="975"/>
      <c r="B22" s="975"/>
      <c r="C22" s="975"/>
      <c r="D22" s="976"/>
      <c r="E22" s="977"/>
      <c r="F22" s="978"/>
      <c r="G22" s="978"/>
    </row>
    <row r="23" spans="1:8" s="974" customFormat="1" ht="15.6" x14ac:dyDescent="0.3">
      <c r="A23" s="973" t="s">
        <v>3129</v>
      </c>
    </row>
    <row r="24" spans="1:8" x14ac:dyDescent="0.3">
      <c r="A24" s="893"/>
      <c r="B24" s="883"/>
      <c r="C24" s="883"/>
      <c r="D24" s="883"/>
      <c r="E24" s="883"/>
      <c r="F24" s="883"/>
      <c r="G24" s="883"/>
    </row>
    <row r="25" spans="1:8" ht="15" thickBot="1" x14ac:dyDescent="0.35">
      <c r="A25" s="893" t="s">
        <v>3130</v>
      </c>
      <c r="B25" s="883"/>
      <c r="C25" s="883"/>
      <c r="D25" s="883"/>
      <c r="E25" s="883"/>
      <c r="F25" s="883"/>
      <c r="G25" s="883"/>
    </row>
    <row r="26" spans="1:8" ht="27" thickBot="1" x14ac:dyDescent="0.35">
      <c r="A26" s="884" t="s">
        <v>752</v>
      </c>
      <c r="B26" s="894" t="s">
        <v>3131</v>
      </c>
      <c r="C26" s="894" t="s">
        <v>60</v>
      </c>
      <c r="D26" s="885" t="s">
        <v>2602</v>
      </c>
      <c r="E26" s="885" t="s">
        <v>3132</v>
      </c>
      <c r="F26" s="885" t="s">
        <v>3133</v>
      </c>
      <c r="G26" s="886" t="s">
        <v>3127</v>
      </c>
    </row>
    <row r="27" spans="1:8" ht="27" thickBot="1" x14ac:dyDescent="0.35">
      <c r="A27" s="895" t="s">
        <v>784</v>
      </c>
      <c r="B27" s="896" t="str">
        <f>+'8 pályázat elszámolásköteles'!C9</f>
        <v>NTP-HHTDK-22-0018.
Tehetséggondozás a tanárképzésben</v>
      </c>
      <c r="C27" s="897" t="str">
        <f>+'8 pályázat elszámolásköteles'!A9</f>
        <v>PH1307/22, PH13</v>
      </c>
      <c r="D27" s="898">
        <v>2000000</v>
      </c>
      <c r="E27" s="898">
        <v>2000000</v>
      </c>
      <c r="F27" s="898"/>
      <c r="G27" s="899"/>
      <c r="H27" s="300"/>
    </row>
    <row r="28" spans="1:8" s="266" customFormat="1" ht="16.2" thickBot="1" x14ac:dyDescent="0.35">
      <c r="A28" s="1108" t="s">
        <v>2602</v>
      </c>
      <c r="B28" s="1109"/>
      <c r="C28" s="1109"/>
      <c r="D28" s="981">
        <f>SUM(D27:D27)</f>
        <v>2000000</v>
      </c>
      <c r="E28" s="981">
        <f>SUM(E27:E27)</f>
        <v>2000000</v>
      </c>
      <c r="F28" s="980">
        <f>SUM(F27:F27)</f>
        <v>0</v>
      </c>
      <c r="G28" s="900"/>
    </row>
    <row r="29" spans="1:8" s="266" customFormat="1" ht="16.2" thickBot="1" x14ac:dyDescent="0.35">
      <c r="A29" s="901"/>
      <c r="B29" s="901"/>
      <c r="C29" s="901"/>
      <c r="D29" s="878"/>
      <c r="E29" s="878"/>
      <c r="F29" s="883"/>
      <c r="G29" s="883"/>
    </row>
    <row r="30" spans="1:8" ht="15" hidden="1" thickBot="1" x14ac:dyDescent="0.35">
      <c r="A30" s="893" t="s">
        <v>3134</v>
      </c>
      <c r="B30" s="883"/>
      <c r="C30" s="883"/>
      <c r="D30" s="883"/>
      <c r="E30" s="883"/>
      <c r="F30" s="883"/>
      <c r="G30" s="883"/>
    </row>
    <row r="31" spans="1:8" ht="27" hidden="1" thickBot="1" x14ac:dyDescent="0.35">
      <c r="A31" s="884" t="s">
        <v>752</v>
      </c>
      <c r="B31" s="894" t="s">
        <v>3131</v>
      </c>
      <c r="C31" s="894" t="s">
        <v>60</v>
      </c>
      <c r="D31" s="1071" t="s">
        <v>2602</v>
      </c>
      <c r="E31" s="885" t="s">
        <v>3132</v>
      </c>
      <c r="F31" s="885" t="s">
        <v>3133</v>
      </c>
      <c r="G31" s="886" t="s">
        <v>3127</v>
      </c>
    </row>
    <row r="32" spans="1:8" hidden="1" x14ac:dyDescent="0.3">
      <c r="A32" s="902"/>
      <c r="B32" s="903"/>
      <c r="C32" s="887"/>
      <c r="D32" s="887">
        <f>SUM(E32:F32)</f>
        <v>0</v>
      </c>
      <c r="E32" s="887"/>
      <c r="F32" s="887"/>
      <c r="G32" s="899"/>
    </row>
    <row r="33" spans="1:7" ht="15" hidden="1" thickBot="1" x14ac:dyDescent="0.35">
      <c r="A33" s="888"/>
      <c r="B33" s="904"/>
      <c r="C33" s="889"/>
      <c r="D33" s="887">
        <f>SUM(E33:F33)</f>
        <v>0</v>
      </c>
      <c r="E33" s="889"/>
      <c r="F33" s="889"/>
      <c r="G33" s="890"/>
    </row>
    <row r="34" spans="1:7" s="266" customFormat="1" ht="16.2" hidden="1" thickBot="1" x14ac:dyDescent="0.35">
      <c r="A34" s="1095" t="s">
        <v>2602</v>
      </c>
      <c r="B34" s="1096"/>
      <c r="C34" s="1096"/>
      <c r="D34" s="1072">
        <f>SUM(D32:D33)</f>
        <v>0</v>
      </c>
      <c r="E34" s="891">
        <f>SUM(E32:E33)</f>
        <v>0</v>
      </c>
      <c r="F34" s="891">
        <f>SUM(F32:F33)</f>
        <v>0</v>
      </c>
      <c r="G34" s="900"/>
    </row>
    <row r="35" spans="1:7" s="266" customFormat="1" ht="16.2" hidden="1" thickBot="1" x14ac:dyDescent="0.35">
      <c r="A35" s="901"/>
      <c r="B35" s="901"/>
      <c r="C35" s="901"/>
      <c r="D35" s="878"/>
      <c r="E35" s="878"/>
      <c r="F35" s="883"/>
      <c r="G35" s="883"/>
    </row>
    <row r="36" spans="1:7" s="266" customFormat="1" ht="33" customHeight="1" thickBot="1" x14ac:dyDescent="0.35">
      <c r="A36" s="1097" t="s">
        <v>3135</v>
      </c>
      <c r="B36" s="1098"/>
      <c r="C36" s="1099"/>
      <c r="D36" s="905">
        <f>SUM(D28,D34)</f>
        <v>2000000</v>
      </c>
      <c r="E36" s="892"/>
      <c r="F36" s="883"/>
      <c r="G36" s="883"/>
    </row>
    <row r="37" spans="1:7" s="266" customFormat="1" ht="16.2" thickBot="1" x14ac:dyDescent="0.35">
      <c r="A37" s="901"/>
      <c r="B37" s="901"/>
      <c r="C37" s="901"/>
      <c r="D37" s="878"/>
      <c r="E37" s="878"/>
      <c r="F37" s="883"/>
      <c r="G37" s="883"/>
    </row>
    <row r="38" spans="1:7" hidden="1" x14ac:dyDescent="0.3">
      <c r="A38" s="883"/>
      <c r="B38" s="883"/>
      <c r="C38" s="883"/>
      <c r="D38" s="883"/>
      <c r="E38" s="883"/>
      <c r="F38" s="883"/>
      <c r="G38" s="883"/>
    </row>
    <row r="39" spans="1:7" s="268" customFormat="1" ht="31.5" customHeight="1" thickBot="1" x14ac:dyDescent="0.35">
      <c r="A39" s="1100" t="s">
        <v>4040</v>
      </c>
      <c r="B39" s="1101"/>
      <c r="C39" s="1102"/>
      <c r="D39" s="905">
        <f>+D36+E21+D12</f>
        <v>75746887</v>
      </c>
      <c r="E39" s="892"/>
      <c r="F39" s="892"/>
      <c r="G39" s="892"/>
    </row>
  </sheetData>
  <mergeCells count="12">
    <mergeCell ref="A21:C21"/>
    <mergeCell ref="A1:G2"/>
    <mergeCell ref="A34:C34"/>
    <mergeCell ref="A36:C36"/>
    <mergeCell ref="A39:C39"/>
    <mergeCell ref="B11:C11"/>
    <mergeCell ref="A12:C12"/>
    <mergeCell ref="A28:C28"/>
    <mergeCell ref="B10:C10"/>
    <mergeCell ref="B7:C7"/>
    <mergeCell ref="B8:C8"/>
    <mergeCell ref="B9:C9"/>
  </mergeCells>
  <pageMargins left="0.70866141732283472" right="0.70866141732283472" top="0.74803149606299213" bottom="0.74803149606299213" header="0.31496062992125984" footer="0.31496062992125984"/>
  <pageSetup paperSize="9" scale="77" orientation="portrait" r:id="rId1"/>
  <headerFooter>
    <oddHeader>&amp;C2021. évi bevételi terv&amp;Radatok eFt-ban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N27"/>
  <sheetViews>
    <sheetView zoomScale="70" zoomScaleNormal="70" workbookViewId="0">
      <selection activeCell="A3" sqref="A3:M27"/>
    </sheetView>
  </sheetViews>
  <sheetFormatPr defaultColWidth="7.77734375" defaultRowHeight="14.4" x14ac:dyDescent="0.3"/>
  <cols>
    <col min="1" max="1" width="7.77734375" style="265" customWidth="1"/>
    <col min="2" max="2" width="20.44140625" style="265" bestFit="1" customWidth="1"/>
    <col min="3" max="3" width="16.44140625" style="265" customWidth="1"/>
    <col min="4" max="4" width="35.77734375" style="265" customWidth="1"/>
    <col min="5" max="5" width="13.21875" style="265" customWidth="1"/>
    <col min="6" max="6" width="7.88671875" style="265" customWidth="1"/>
    <col min="7" max="7" width="15.44140625" style="265" customWidth="1"/>
    <col min="8" max="8" width="14.88671875" style="300" bestFit="1" customWidth="1"/>
    <col min="9" max="9" width="7.88671875" style="265" customWidth="1"/>
    <col min="10" max="10" width="15.44140625" style="265" customWidth="1"/>
    <col min="11" max="11" width="11.44140625" style="265" customWidth="1"/>
    <col min="12" max="12" width="8.6640625" style="265" customWidth="1"/>
    <col min="13" max="13" width="14.88671875" style="300" bestFit="1" customWidth="1"/>
    <col min="14" max="14" width="11.44140625" style="265" bestFit="1" customWidth="1"/>
    <col min="15" max="16384" width="7.77734375" style="265"/>
  </cols>
  <sheetData>
    <row r="1" spans="1:14" ht="25.2" customHeight="1" x14ac:dyDescent="0.3">
      <c r="A1" s="1114" t="s">
        <v>3635</v>
      </c>
      <c r="B1" s="1114"/>
      <c r="C1" s="1114"/>
      <c r="D1" s="1114"/>
      <c r="E1" s="1114"/>
      <c r="F1" s="1114"/>
      <c r="G1" s="1114"/>
      <c r="H1" s="1114"/>
      <c r="I1" s="1114"/>
      <c r="J1" s="1114"/>
      <c r="K1" s="1114"/>
      <c r="L1" s="1114"/>
      <c r="M1" s="1114"/>
      <c r="N1" s="1114"/>
    </row>
    <row r="2" spans="1:14" ht="15" customHeight="1" thickBot="1" x14ac:dyDescent="0.35">
      <c r="A2" s="269"/>
      <c r="B2" s="269"/>
      <c r="C2" s="269"/>
      <c r="D2" s="269"/>
      <c r="E2" s="269"/>
    </row>
    <row r="3" spans="1:14" s="734" customFormat="1" ht="16.2" thickBot="1" x14ac:dyDescent="0.35">
      <c r="A3" s="731" t="s">
        <v>3136</v>
      </c>
      <c r="B3" s="732"/>
      <c r="C3" s="732"/>
      <c r="D3" s="732"/>
      <c r="E3" s="732"/>
      <c r="F3" s="732"/>
      <c r="G3" s="732"/>
      <c r="H3" s="733"/>
      <c r="I3" s="732"/>
      <c r="J3" s="732"/>
      <c r="K3" s="733"/>
      <c r="L3" s="732"/>
      <c r="M3" s="733"/>
      <c r="N3" s="738"/>
    </row>
    <row r="4" spans="1:14" customFormat="1" ht="15" customHeight="1" x14ac:dyDescent="0.3">
      <c r="A4" s="1115" t="s">
        <v>752</v>
      </c>
      <c r="B4" s="1117" t="s">
        <v>3125</v>
      </c>
      <c r="C4" s="1119" t="s">
        <v>3919</v>
      </c>
      <c r="D4" s="1121" t="s">
        <v>3137</v>
      </c>
      <c r="E4" s="1121" t="s">
        <v>3138</v>
      </c>
      <c r="F4" s="1117" t="s">
        <v>3139</v>
      </c>
      <c r="G4" s="1117"/>
      <c r="H4" s="1117"/>
      <c r="I4" s="1117" t="s">
        <v>3140</v>
      </c>
      <c r="J4" s="1117"/>
      <c r="K4" s="1117"/>
      <c r="L4" s="1117" t="s">
        <v>2602</v>
      </c>
      <c r="M4" s="1117"/>
      <c r="N4" s="1123" t="s">
        <v>3127</v>
      </c>
    </row>
    <row r="5" spans="1:14" s="742" customFormat="1" ht="43.8" thickBot="1" x14ac:dyDescent="0.35">
      <c r="A5" s="1116"/>
      <c r="B5" s="1118"/>
      <c r="C5" s="1120"/>
      <c r="D5" s="1122"/>
      <c r="E5" s="1122"/>
      <c r="F5" s="788" t="s">
        <v>3141</v>
      </c>
      <c r="G5" s="740" t="s">
        <v>3142</v>
      </c>
      <c r="H5" s="741" t="s">
        <v>2916</v>
      </c>
      <c r="I5" s="788" t="s">
        <v>3141</v>
      </c>
      <c r="J5" s="740" t="s">
        <v>3142</v>
      </c>
      <c r="K5" s="741" t="s">
        <v>2916</v>
      </c>
      <c r="L5" s="739" t="s">
        <v>3141</v>
      </c>
      <c r="M5" s="741" t="s">
        <v>2916</v>
      </c>
      <c r="N5" s="1124"/>
    </row>
    <row r="6" spans="1:14" s="237" customFormat="1" ht="15.6" x14ac:dyDescent="0.3">
      <c r="A6" s="909" t="s">
        <v>784</v>
      </c>
      <c r="B6" s="910" t="s">
        <v>3910</v>
      </c>
      <c r="C6" s="910" t="s">
        <v>3920</v>
      </c>
      <c r="D6" s="910" t="s">
        <v>3921</v>
      </c>
      <c r="E6" s="910" t="s">
        <v>3922</v>
      </c>
      <c r="F6" s="910">
        <v>1</v>
      </c>
      <c r="G6" s="911">
        <v>200000</v>
      </c>
      <c r="H6" s="911">
        <f>F6*G6</f>
        <v>200000</v>
      </c>
      <c r="I6" s="911">
        <v>0</v>
      </c>
      <c r="J6" s="911">
        <v>200000</v>
      </c>
      <c r="K6" s="911">
        <f>I6*J6</f>
        <v>0</v>
      </c>
      <c r="L6" s="911">
        <f>F6+I6</f>
        <v>1</v>
      </c>
      <c r="M6" s="911">
        <f>H6+K6</f>
        <v>200000</v>
      </c>
      <c r="N6" s="912"/>
    </row>
    <row r="7" spans="1:14" s="237" customFormat="1" ht="15.6" x14ac:dyDescent="0.3">
      <c r="A7" s="909" t="s">
        <v>784</v>
      </c>
      <c r="B7" s="910" t="s">
        <v>3910</v>
      </c>
      <c r="C7" s="910" t="s">
        <v>3920</v>
      </c>
      <c r="D7" s="910" t="s">
        <v>3921</v>
      </c>
      <c r="E7" s="910" t="s">
        <v>3922</v>
      </c>
      <c r="F7" s="910">
        <v>10</v>
      </c>
      <c r="G7" s="911">
        <v>300000</v>
      </c>
      <c r="H7" s="911">
        <f t="shared" ref="H7:H26" si="0">F7*G7</f>
        <v>3000000</v>
      </c>
      <c r="I7" s="911">
        <v>13</v>
      </c>
      <c r="J7" s="911">
        <v>300000</v>
      </c>
      <c r="K7" s="911">
        <f t="shared" ref="K7:K26" si="1">I7*J7</f>
        <v>3900000</v>
      </c>
      <c r="L7" s="911">
        <f t="shared" ref="L7:L26" si="2">F7+I7</f>
        <v>23</v>
      </c>
      <c r="M7" s="911">
        <f t="shared" ref="M7:M26" si="3">H7+K7</f>
        <v>6900000</v>
      </c>
      <c r="N7" s="912"/>
    </row>
    <row r="8" spans="1:14" s="237" customFormat="1" ht="15.6" x14ac:dyDescent="0.3">
      <c r="A8" s="909" t="s">
        <v>784</v>
      </c>
      <c r="B8" s="913" t="s">
        <v>3910</v>
      </c>
      <c r="C8" s="913" t="s">
        <v>3923</v>
      </c>
      <c r="D8" s="913" t="s">
        <v>3921</v>
      </c>
      <c r="E8" s="913" t="s">
        <v>3924</v>
      </c>
      <c r="F8" s="913">
        <v>5</v>
      </c>
      <c r="G8" s="914">
        <v>300000</v>
      </c>
      <c r="H8" s="914">
        <f t="shared" si="0"/>
        <v>1500000</v>
      </c>
      <c r="I8" s="914">
        <v>6</v>
      </c>
      <c r="J8" s="914">
        <v>300000</v>
      </c>
      <c r="K8" s="914">
        <f t="shared" si="1"/>
        <v>1800000</v>
      </c>
      <c r="L8" s="914">
        <f t="shared" si="2"/>
        <v>11</v>
      </c>
      <c r="M8" s="914">
        <f t="shared" si="3"/>
        <v>3300000</v>
      </c>
      <c r="N8" s="915"/>
    </row>
    <row r="9" spans="1:14" s="237" customFormat="1" ht="15.6" x14ac:dyDescent="0.3">
      <c r="A9" s="909" t="s">
        <v>784</v>
      </c>
      <c r="B9" s="910" t="s">
        <v>3910</v>
      </c>
      <c r="C9" s="910" t="s">
        <v>3925</v>
      </c>
      <c r="D9" s="910" t="s">
        <v>3926</v>
      </c>
      <c r="E9" s="910" t="s">
        <v>3924</v>
      </c>
      <c r="F9" s="910">
        <v>3</v>
      </c>
      <c r="G9" s="911">
        <v>300000</v>
      </c>
      <c r="H9" s="911">
        <f t="shared" si="0"/>
        <v>900000</v>
      </c>
      <c r="I9" s="911">
        <v>4</v>
      </c>
      <c r="J9" s="911">
        <v>300000</v>
      </c>
      <c r="K9" s="911">
        <f t="shared" si="1"/>
        <v>1200000</v>
      </c>
      <c r="L9" s="911">
        <f t="shared" si="2"/>
        <v>7</v>
      </c>
      <c r="M9" s="911">
        <f t="shared" si="3"/>
        <v>2100000</v>
      </c>
      <c r="N9" s="912"/>
    </row>
    <row r="10" spans="1:14" s="237" customFormat="1" ht="15.6" x14ac:dyDescent="0.3">
      <c r="A10" s="909" t="s">
        <v>784</v>
      </c>
      <c r="B10" s="913" t="s">
        <v>3910</v>
      </c>
      <c r="C10" s="913" t="s">
        <v>3927</v>
      </c>
      <c r="D10" s="913" t="s">
        <v>3928</v>
      </c>
      <c r="E10" s="913" t="s">
        <v>3924</v>
      </c>
      <c r="F10" s="913">
        <v>3</v>
      </c>
      <c r="G10" s="914">
        <v>300000</v>
      </c>
      <c r="H10" s="914">
        <f t="shared" si="0"/>
        <v>900000</v>
      </c>
      <c r="I10" s="914">
        <v>4</v>
      </c>
      <c r="J10" s="914">
        <v>300000</v>
      </c>
      <c r="K10" s="914">
        <f t="shared" si="1"/>
        <v>1200000</v>
      </c>
      <c r="L10" s="914">
        <f t="shared" si="2"/>
        <v>7</v>
      </c>
      <c r="M10" s="914">
        <f t="shared" si="3"/>
        <v>2100000</v>
      </c>
      <c r="N10" s="915"/>
    </row>
    <row r="11" spans="1:14" s="237" customFormat="1" ht="15.6" x14ac:dyDescent="0.3">
      <c r="A11" s="909" t="s">
        <v>784</v>
      </c>
      <c r="B11" s="910" t="s">
        <v>3910</v>
      </c>
      <c r="C11" s="910" t="s">
        <v>3929</v>
      </c>
      <c r="D11" s="910" t="s">
        <v>3930</v>
      </c>
      <c r="E11" s="910" t="s">
        <v>3924</v>
      </c>
      <c r="F11" s="910">
        <v>1</v>
      </c>
      <c r="G11" s="911">
        <v>200000</v>
      </c>
      <c r="H11" s="911">
        <f t="shared" si="0"/>
        <v>200000</v>
      </c>
      <c r="I11" s="911">
        <v>1</v>
      </c>
      <c r="J11" s="911">
        <v>200000</v>
      </c>
      <c r="K11" s="911">
        <f t="shared" si="1"/>
        <v>200000</v>
      </c>
      <c r="L11" s="911">
        <f t="shared" si="2"/>
        <v>2</v>
      </c>
      <c r="M11" s="911">
        <f t="shared" si="3"/>
        <v>400000</v>
      </c>
      <c r="N11" s="912"/>
    </row>
    <row r="12" spans="1:14" s="237" customFormat="1" ht="15.6" x14ac:dyDescent="0.3">
      <c r="A12" s="916" t="s">
        <v>784</v>
      </c>
      <c r="B12" s="910" t="s">
        <v>3910</v>
      </c>
      <c r="C12" s="758" t="s">
        <v>3929</v>
      </c>
      <c r="D12" s="758" t="s">
        <v>3930</v>
      </c>
      <c r="E12" s="758" t="s">
        <v>3924</v>
      </c>
      <c r="F12" s="758">
        <v>2</v>
      </c>
      <c r="G12" s="917">
        <v>300000</v>
      </c>
      <c r="H12" s="911">
        <f t="shared" si="0"/>
        <v>600000</v>
      </c>
      <c r="I12" s="917">
        <v>3</v>
      </c>
      <c r="J12" s="917">
        <v>300000</v>
      </c>
      <c r="K12" s="911">
        <f t="shared" si="1"/>
        <v>900000</v>
      </c>
      <c r="L12" s="911">
        <f t="shared" si="2"/>
        <v>5</v>
      </c>
      <c r="M12" s="911">
        <f t="shared" si="3"/>
        <v>1500000</v>
      </c>
      <c r="N12" s="918"/>
    </row>
    <row r="13" spans="1:14" s="237" customFormat="1" ht="15.6" x14ac:dyDescent="0.3">
      <c r="A13" s="916" t="s">
        <v>784</v>
      </c>
      <c r="B13" s="913" t="s">
        <v>3910</v>
      </c>
      <c r="C13" s="919" t="s">
        <v>3931</v>
      </c>
      <c r="D13" s="919" t="s">
        <v>3930</v>
      </c>
      <c r="E13" s="919" t="s">
        <v>3922</v>
      </c>
      <c r="F13" s="919">
        <v>1</v>
      </c>
      <c r="G13" s="920">
        <v>115000</v>
      </c>
      <c r="H13" s="914">
        <f t="shared" si="0"/>
        <v>115000</v>
      </c>
      <c r="I13" s="920">
        <v>0</v>
      </c>
      <c r="J13" s="920">
        <v>115000</v>
      </c>
      <c r="K13" s="914">
        <f t="shared" si="1"/>
        <v>0</v>
      </c>
      <c r="L13" s="914">
        <f t="shared" si="2"/>
        <v>1</v>
      </c>
      <c r="M13" s="914">
        <f t="shared" si="3"/>
        <v>115000</v>
      </c>
      <c r="N13" s="921"/>
    </row>
    <row r="14" spans="1:14" s="237" customFormat="1" ht="15.6" x14ac:dyDescent="0.3">
      <c r="A14" s="916" t="s">
        <v>784</v>
      </c>
      <c r="B14" s="913" t="s">
        <v>3910</v>
      </c>
      <c r="C14" s="919" t="s">
        <v>3932</v>
      </c>
      <c r="D14" s="919" t="s">
        <v>3933</v>
      </c>
      <c r="E14" s="919" t="s">
        <v>3924</v>
      </c>
      <c r="F14" s="919">
        <v>1</v>
      </c>
      <c r="G14" s="920">
        <v>350000</v>
      </c>
      <c r="H14" s="914">
        <f t="shared" si="0"/>
        <v>350000</v>
      </c>
      <c r="I14" s="920">
        <v>0</v>
      </c>
      <c r="J14" s="920">
        <v>350000</v>
      </c>
      <c r="K14" s="914">
        <f t="shared" si="1"/>
        <v>0</v>
      </c>
      <c r="L14" s="914">
        <f t="shared" si="2"/>
        <v>1</v>
      </c>
      <c r="M14" s="914">
        <f t="shared" si="3"/>
        <v>350000</v>
      </c>
      <c r="N14" s="921"/>
    </row>
    <row r="15" spans="1:14" s="237" customFormat="1" ht="15.6" x14ac:dyDescent="0.3">
      <c r="A15" s="916" t="s">
        <v>784</v>
      </c>
      <c r="B15" s="910" t="s">
        <v>3910</v>
      </c>
      <c r="C15" s="758" t="s">
        <v>3934</v>
      </c>
      <c r="D15" s="758" t="s">
        <v>3930</v>
      </c>
      <c r="E15" s="758" t="s">
        <v>3922</v>
      </c>
      <c r="F15" s="758">
        <v>1</v>
      </c>
      <c r="G15" s="917">
        <v>200000</v>
      </c>
      <c r="H15" s="911">
        <f t="shared" si="0"/>
        <v>200000</v>
      </c>
      <c r="I15" s="917">
        <v>0</v>
      </c>
      <c r="J15" s="917">
        <v>200000</v>
      </c>
      <c r="K15" s="911">
        <f t="shared" si="1"/>
        <v>0</v>
      </c>
      <c r="L15" s="911">
        <f t="shared" si="2"/>
        <v>1</v>
      </c>
      <c r="M15" s="911">
        <f t="shared" si="3"/>
        <v>200000</v>
      </c>
      <c r="N15" s="918"/>
    </row>
    <row r="16" spans="1:14" s="237" customFormat="1" ht="15.6" x14ac:dyDescent="0.3">
      <c r="A16" s="916" t="s">
        <v>784</v>
      </c>
      <c r="B16" s="910" t="s">
        <v>3910</v>
      </c>
      <c r="C16" s="758" t="s">
        <v>3934</v>
      </c>
      <c r="D16" s="758" t="s">
        <v>3930</v>
      </c>
      <c r="E16" s="758" t="s">
        <v>3922</v>
      </c>
      <c r="F16" s="758">
        <v>2</v>
      </c>
      <c r="G16" s="917">
        <v>300000</v>
      </c>
      <c r="H16" s="911">
        <f t="shared" si="0"/>
        <v>600000</v>
      </c>
      <c r="I16" s="917">
        <v>3</v>
      </c>
      <c r="J16" s="917">
        <v>300000</v>
      </c>
      <c r="K16" s="911">
        <f t="shared" si="1"/>
        <v>900000</v>
      </c>
      <c r="L16" s="911">
        <f t="shared" si="2"/>
        <v>5</v>
      </c>
      <c r="M16" s="911">
        <f t="shared" si="3"/>
        <v>1500000</v>
      </c>
      <c r="N16" s="918"/>
    </row>
    <row r="17" spans="1:14" s="237" customFormat="1" ht="15.6" x14ac:dyDescent="0.3">
      <c r="A17" s="916" t="s">
        <v>784</v>
      </c>
      <c r="B17" s="913" t="s">
        <v>3910</v>
      </c>
      <c r="C17" s="919" t="s">
        <v>3935</v>
      </c>
      <c r="D17" s="919" t="s">
        <v>3936</v>
      </c>
      <c r="E17" s="919" t="s">
        <v>3924</v>
      </c>
      <c r="F17" s="919">
        <v>11</v>
      </c>
      <c r="G17" s="920">
        <v>200000</v>
      </c>
      <c r="H17" s="914">
        <f t="shared" si="0"/>
        <v>2200000</v>
      </c>
      <c r="I17" s="920">
        <v>6</v>
      </c>
      <c r="J17" s="920">
        <v>200000</v>
      </c>
      <c r="K17" s="914">
        <f t="shared" si="1"/>
        <v>1200000</v>
      </c>
      <c r="L17" s="914">
        <f t="shared" si="2"/>
        <v>17</v>
      </c>
      <c r="M17" s="914">
        <f t="shared" si="3"/>
        <v>3400000</v>
      </c>
      <c r="N17" s="921"/>
    </row>
    <row r="18" spans="1:14" s="237" customFormat="1" ht="15.6" x14ac:dyDescent="0.3">
      <c r="A18" s="916" t="s">
        <v>784</v>
      </c>
      <c r="B18" s="910" t="s">
        <v>3910</v>
      </c>
      <c r="C18" s="758" t="s">
        <v>3937</v>
      </c>
      <c r="D18" s="758" t="s">
        <v>3938</v>
      </c>
      <c r="E18" s="758" t="s">
        <v>3924</v>
      </c>
      <c r="F18" s="758">
        <v>2</v>
      </c>
      <c r="G18" s="917">
        <v>350000</v>
      </c>
      <c r="H18" s="911">
        <f t="shared" si="0"/>
        <v>700000</v>
      </c>
      <c r="I18" s="917">
        <v>4</v>
      </c>
      <c r="J18" s="917">
        <v>350000</v>
      </c>
      <c r="K18" s="911">
        <f t="shared" si="1"/>
        <v>1400000</v>
      </c>
      <c r="L18" s="911">
        <f t="shared" si="2"/>
        <v>6</v>
      </c>
      <c r="M18" s="911">
        <f t="shared" si="3"/>
        <v>2100000</v>
      </c>
      <c r="N18" s="918"/>
    </row>
    <row r="19" spans="1:14" s="237" customFormat="1" ht="15.6" x14ac:dyDescent="0.3">
      <c r="A19" s="916" t="s">
        <v>784</v>
      </c>
      <c r="B19" s="910" t="s">
        <v>3910</v>
      </c>
      <c r="C19" s="758" t="s">
        <v>3937</v>
      </c>
      <c r="D19" s="758" t="s">
        <v>3938</v>
      </c>
      <c r="E19" s="758" t="s">
        <v>3922</v>
      </c>
      <c r="F19" s="758">
        <v>1</v>
      </c>
      <c r="G19" s="917">
        <v>350000</v>
      </c>
      <c r="H19" s="911">
        <f t="shared" si="0"/>
        <v>350000</v>
      </c>
      <c r="I19" s="917">
        <v>3</v>
      </c>
      <c r="J19" s="917">
        <v>350000</v>
      </c>
      <c r="K19" s="911">
        <f t="shared" si="1"/>
        <v>1050000</v>
      </c>
      <c r="L19" s="911">
        <f t="shared" si="2"/>
        <v>4</v>
      </c>
      <c r="M19" s="911">
        <f t="shared" si="3"/>
        <v>1400000</v>
      </c>
      <c r="N19" s="918"/>
    </row>
    <row r="20" spans="1:14" s="237" customFormat="1" ht="15.6" x14ac:dyDescent="0.3">
      <c r="A20" s="916" t="s">
        <v>784</v>
      </c>
      <c r="B20" s="922" t="s">
        <v>3911</v>
      </c>
      <c r="C20" s="922" t="s">
        <v>3622</v>
      </c>
      <c r="D20" s="922" t="s">
        <v>3939</v>
      </c>
      <c r="E20" s="922" t="s">
        <v>3924</v>
      </c>
      <c r="F20" s="922">
        <v>26</v>
      </c>
      <c r="G20" s="923">
        <v>400000</v>
      </c>
      <c r="H20" s="924">
        <f t="shared" si="0"/>
        <v>10400000</v>
      </c>
      <c r="I20" s="923">
        <v>34</v>
      </c>
      <c r="J20" s="923">
        <v>400000</v>
      </c>
      <c r="K20" s="924">
        <f t="shared" si="1"/>
        <v>13600000</v>
      </c>
      <c r="L20" s="924">
        <f t="shared" si="2"/>
        <v>60</v>
      </c>
      <c r="M20" s="924">
        <f t="shared" si="3"/>
        <v>24000000</v>
      </c>
      <c r="N20" s="925" t="s">
        <v>3940</v>
      </c>
    </row>
    <row r="21" spans="1:14" s="237" customFormat="1" ht="15.6" x14ac:dyDescent="0.3">
      <c r="A21" s="916" t="s">
        <v>784</v>
      </c>
      <c r="B21" s="922" t="s">
        <v>3911</v>
      </c>
      <c r="C21" s="922" t="s">
        <v>3622</v>
      </c>
      <c r="D21" s="922" t="s">
        <v>3939</v>
      </c>
      <c r="E21" s="922" t="s">
        <v>3924</v>
      </c>
      <c r="F21" s="922">
        <v>12</v>
      </c>
      <c r="G21" s="923">
        <v>400000</v>
      </c>
      <c r="H21" s="924">
        <f t="shared" si="0"/>
        <v>4800000</v>
      </c>
      <c r="I21" s="923">
        <v>0</v>
      </c>
      <c r="J21" s="923">
        <v>400000</v>
      </c>
      <c r="K21" s="924">
        <f t="shared" si="1"/>
        <v>0</v>
      </c>
      <c r="L21" s="924">
        <f t="shared" si="2"/>
        <v>12</v>
      </c>
      <c r="M21" s="924">
        <f t="shared" si="3"/>
        <v>4800000</v>
      </c>
      <c r="N21" s="925"/>
    </row>
    <row r="22" spans="1:14" s="237" customFormat="1" ht="15.6" x14ac:dyDescent="0.3">
      <c r="A22" s="916" t="s">
        <v>784</v>
      </c>
      <c r="B22" s="922" t="s">
        <v>3912</v>
      </c>
      <c r="C22" s="922" t="s">
        <v>3622</v>
      </c>
      <c r="D22" s="922" t="s">
        <v>3941</v>
      </c>
      <c r="E22" s="922" t="s">
        <v>3924</v>
      </c>
      <c r="F22" s="922">
        <v>1</v>
      </c>
      <c r="G22" s="923">
        <v>400000</v>
      </c>
      <c r="H22" s="924">
        <f t="shared" si="0"/>
        <v>400000</v>
      </c>
      <c r="I22" s="923">
        <v>1</v>
      </c>
      <c r="J22" s="923">
        <v>400000</v>
      </c>
      <c r="K22" s="924">
        <f t="shared" si="1"/>
        <v>400000</v>
      </c>
      <c r="L22" s="924">
        <f t="shared" si="2"/>
        <v>2</v>
      </c>
      <c r="M22" s="924">
        <f t="shared" si="3"/>
        <v>800000</v>
      </c>
      <c r="N22" s="925"/>
    </row>
    <row r="23" spans="1:14" s="237" customFormat="1" ht="15.6" x14ac:dyDescent="0.3">
      <c r="A23" s="916" t="s">
        <v>784</v>
      </c>
      <c r="B23" s="922" t="s">
        <v>3912</v>
      </c>
      <c r="C23" s="922" t="s">
        <v>3622</v>
      </c>
      <c r="D23" s="922" t="s">
        <v>3941</v>
      </c>
      <c r="E23" s="922" t="s">
        <v>3922</v>
      </c>
      <c r="F23" s="922">
        <v>3</v>
      </c>
      <c r="G23" s="923">
        <v>400000</v>
      </c>
      <c r="H23" s="924">
        <f t="shared" si="0"/>
        <v>1200000</v>
      </c>
      <c r="I23" s="923">
        <v>2</v>
      </c>
      <c r="J23" s="923">
        <v>400000</v>
      </c>
      <c r="K23" s="924">
        <f t="shared" si="1"/>
        <v>800000</v>
      </c>
      <c r="L23" s="924">
        <f t="shared" si="2"/>
        <v>5</v>
      </c>
      <c r="M23" s="924">
        <f t="shared" si="3"/>
        <v>2000000</v>
      </c>
      <c r="N23" s="925"/>
    </row>
    <row r="24" spans="1:14" s="237" customFormat="1" ht="15.6" x14ac:dyDescent="0.3">
      <c r="A24" s="926" t="s">
        <v>784</v>
      </c>
      <c r="B24" s="922" t="s">
        <v>3912</v>
      </c>
      <c r="C24" s="927" t="s">
        <v>3622</v>
      </c>
      <c r="D24" s="927" t="s">
        <v>3941</v>
      </c>
      <c r="E24" s="927" t="s">
        <v>3922</v>
      </c>
      <c r="F24" s="927">
        <v>4</v>
      </c>
      <c r="G24" s="928">
        <v>500000</v>
      </c>
      <c r="H24" s="924">
        <f t="shared" si="0"/>
        <v>2000000</v>
      </c>
      <c r="I24" s="928">
        <v>1</v>
      </c>
      <c r="J24" s="928">
        <v>500000</v>
      </c>
      <c r="K24" s="924">
        <f t="shared" si="1"/>
        <v>500000</v>
      </c>
      <c r="L24" s="924">
        <f t="shared" si="2"/>
        <v>5</v>
      </c>
      <c r="M24" s="924">
        <f t="shared" si="3"/>
        <v>2500000</v>
      </c>
      <c r="N24" s="929"/>
    </row>
    <row r="25" spans="1:14" s="237" customFormat="1" ht="15.6" x14ac:dyDescent="0.3">
      <c r="A25" s="926" t="s">
        <v>784</v>
      </c>
      <c r="B25" s="922" t="s">
        <v>3912</v>
      </c>
      <c r="C25" s="927" t="s">
        <v>3622</v>
      </c>
      <c r="D25" s="927" t="s">
        <v>3941</v>
      </c>
      <c r="E25" s="927" t="s">
        <v>3922</v>
      </c>
      <c r="F25" s="927">
        <v>0</v>
      </c>
      <c r="G25" s="928">
        <v>500000</v>
      </c>
      <c r="H25" s="924">
        <f t="shared" si="0"/>
        <v>0</v>
      </c>
      <c r="I25" s="928">
        <v>2</v>
      </c>
      <c r="J25" s="928">
        <v>500000</v>
      </c>
      <c r="K25" s="924">
        <f t="shared" si="1"/>
        <v>1000000</v>
      </c>
      <c r="L25" s="924">
        <f t="shared" si="2"/>
        <v>2</v>
      </c>
      <c r="M25" s="924">
        <f t="shared" si="3"/>
        <v>1000000</v>
      </c>
      <c r="N25" s="929" t="s">
        <v>3942</v>
      </c>
    </row>
    <row r="26" spans="1:14" s="237" customFormat="1" ht="47.4" thickBot="1" x14ac:dyDescent="0.35">
      <c r="A26" s="926" t="s">
        <v>784</v>
      </c>
      <c r="B26" s="930" t="s">
        <v>3913</v>
      </c>
      <c r="C26" s="931" t="s">
        <v>3943</v>
      </c>
      <c r="D26" s="932" t="s">
        <v>3944</v>
      </c>
      <c r="E26" s="931" t="s">
        <v>3924</v>
      </c>
      <c r="F26" s="931">
        <v>5</v>
      </c>
      <c r="G26" s="931">
        <v>170000</v>
      </c>
      <c r="H26" s="933">
        <f t="shared" si="0"/>
        <v>850000</v>
      </c>
      <c r="I26" s="931">
        <v>0</v>
      </c>
      <c r="J26" s="931">
        <v>170000</v>
      </c>
      <c r="K26" s="933">
        <f t="shared" si="1"/>
        <v>0</v>
      </c>
      <c r="L26" s="934">
        <f t="shared" si="2"/>
        <v>5</v>
      </c>
      <c r="M26" s="933">
        <f t="shared" si="3"/>
        <v>850000</v>
      </c>
      <c r="N26" s="935"/>
    </row>
    <row r="27" spans="1:14" s="941" customFormat="1" ht="16.2" thickBot="1" x14ac:dyDescent="0.35">
      <c r="A27" s="936" t="s">
        <v>2602</v>
      </c>
      <c r="B27" s="937"/>
      <c r="C27" s="937"/>
      <c r="D27" s="937"/>
      <c r="E27" s="937"/>
      <c r="F27" s="937"/>
      <c r="G27" s="937"/>
      <c r="H27" s="938">
        <f>SUM(H6:H26)</f>
        <v>31465000</v>
      </c>
      <c r="I27" s="939"/>
      <c r="J27" s="939"/>
      <c r="K27" s="938">
        <f>SUM(K6:K26)</f>
        <v>30050000</v>
      </c>
      <c r="L27" s="939"/>
      <c r="M27" s="938">
        <f>SUM(M6:M26)</f>
        <v>61515000</v>
      </c>
      <c r="N27" s="940"/>
    </row>
  </sheetData>
  <mergeCells count="10">
    <mergeCell ref="A1:N1"/>
    <mergeCell ref="A4:A5"/>
    <mergeCell ref="B4:B5"/>
    <mergeCell ref="C4:C5"/>
    <mergeCell ref="D4:D5"/>
    <mergeCell ref="E4:E5"/>
    <mergeCell ref="F4:H4"/>
    <mergeCell ref="I4:K4"/>
    <mergeCell ref="L4:M4"/>
    <mergeCell ref="N4:N5"/>
  </mergeCells>
  <pageMargins left="0.39370078740157483" right="0.39370078740157483" top="0.74803149606299213" bottom="0.74803149606299213" header="0.31496062992125984" footer="0.31496062992125984"/>
  <pageSetup paperSize="9" scale="56" orientation="landscape" r:id="rId1"/>
  <headerFooter>
    <oddHeader>&amp;CKépzési bevételek &amp;Radatok Ft-ban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R35"/>
  <sheetViews>
    <sheetView showGridLines="0" zoomScale="85" zoomScaleNormal="85" workbookViewId="0">
      <selection activeCell="A3" sqref="A3:R23"/>
    </sheetView>
  </sheetViews>
  <sheetFormatPr defaultColWidth="7.77734375" defaultRowHeight="13.2" x14ac:dyDescent="0.25"/>
  <cols>
    <col min="1" max="1" width="26.33203125" style="99" customWidth="1"/>
    <col min="2" max="11" width="7.21875" style="963" customWidth="1"/>
    <col min="12" max="12" width="9.109375" style="963" hidden="1" customWidth="1"/>
    <col min="13" max="13" width="10.88671875" style="963" hidden="1" customWidth="1"/>
    <col min="14" max="14" width="6.109375" style="963" customWidth="1"/>
    <col min="15" max="15" width="6" style="963" customWidth="1"/>
    <col min="16" max="16" width="7.77734375" style="963"/>
    <col min="17" max="17" width="0" style="963" hidden="1" customWidth="1"/>
    <col min="18" max="18" width="12.109375" style="963" customWidth="1"/>
    <col min="19" max="16384" width="7.77734375" style="963"/>
  </cols>
  <sheetData>
    <row r="1" spans="1:18" ht="21" x14ac:dyDescent="0.25">
      <c r="A1" s="982" t="s">
        <v>3985</v>
      </c>
    </row>
    <row r="2" spans="1:18" ht="13.8" thickBot="1" x14ac:dyDescent="0.3"/>
    <row r="3" spans="1:18" s="983" customFormat="1" x14ac:dyDescent="0.25">
      <c r="A3" s="1126" t="s">
        <v>3143</v>
      </c>
      <c r="B3" s="1127"/>
      <c r="C3" s="1127"/>
      <c r="D3" s="1127"/>
      <c r="E3" s="1127"/>
      <c r="F3" s="1127"/>
      <c r="G3" s="1127"/>
      <c r="H3" s="1127"/>
      <c r="I3" s="1127"/>
      <c r="J3" s="1127"/>
      <c r="K3" s="1127"/>
      <c r="L3" s="1127"/>
      <c r="M3" s="1127"/>
      <c r="N3" s="1127"/>
      <c r="O3" s="1127"/>
      <c r="P3" s="1127"/>
      <c r="Q3" s="1127"/>
      <c r="R3" s="1128"/>
    </row>
    <row r="4" spans="1:18" s="983" customFormat="1" ht="13.8" thickBot="1" x14ac:dyDescent="0.3">
      <c r="A4" s="1129"/>
      <c r="B4" s="1130"/>
      <c r="C4" s="1130"/>
      <c r="D4" s="1130"/>
      <c r="E4" s="1130"/>
      <c r="F4" s="1130"/>
      <c r="G4" s="1130"/>
      <c r="H4" s="1130"/>
      <c r="I4" s="1130"/>
      <c r="J4" s="1130"/>
      <c r="K4" s="1130"/>
      <c r="L4" s="1130"/>
      <c r="M4" s="1130"/>
      <c r="N4" s="1130"/>
      <c r="O4" s="1130"/>
      <c r="P4" s="1130"/>
      <c r="Q4" s="1130"/>
      <c r="R4" s="1131"/>
    </row>
    <row r="5" spans="1:18" s="983" customFormat="1" ht="38.25" customHeight="1" x14ac:dyDescent="0.25">
      <c r="A5" s="1132" t="s">
        <v>3144</v>
      </c>
      <c r="B5" s="1134" t="s">
        <v>3145</v>
      </c>
      <c r="C5" s="1135"/>
      <c r="D5" s="1135" t="s">
        <v>3146</v>
      </c>
      <c r="E5" s="1135"/>
      <c r="F5" s="1135" t="s">
        <v>3147</v>
      </c>
      <c r="G5" s="1135"/>
      <c r="H5" s="1135" t="s">
        <v>3148</v>
      </c>
      <c r="I5" s="1135"/>
      <c r="J5" s="1136" t="s">
        <v>3149</v>
      </c>
      <c r="K5" s="1134"/>
      <c r="L5" s="1135" t="s">
        <v>3150</v>
      </c>
      <c r="M5" s="1135"/>
      <c r="N5" s="1137" t="s">
        <v>2602</v>
      </c>
      <c r="O5" s="1138"/>
      <c r="P5" s="1141" t="s">
        <v>3151</v>
      </c>
      <c r="Q5" s="984" t="s">
        <v>3152</v>
      </c>
      <c r="R5" s="1143" t="s">
        <v>3153</v>
      </c>
    </row>
    <row r="6" spans="1:18" s="983" customFormat="1" x14ac:dyDescent="0.25">
      <c r="A6" s="1133"/>
      <c r="B6" s="1145" t="s">
        <v>3154</v>
      </c>
      <c r="C6" s="1125"/>
      <c r="D6" s="1125" t="s">
        <v>3155</v>
      </c>
      <c r="E6" s="1125"/>
      <c r="F6" s="1125" t="s">
        <v>3156</v>
      </c>
      <c r="G6" s="1125"/>
      <c r="H6" s="1125" t="s">
        <v>3157</v>
      </c>
      <c r="I6" s="1125"/>
      <c r="J6" s="1125" t="s">
        <v>3158</v>
      </c>
      <c r="K6" s="1125"/>
      <c r="L6" s="1125" t="s">
        <v>3159</v>
      </c>
      <c r="M6" s="1125"/>
      <c r="N6" s="1139"/>
      <c r="O6" s="1140"/>
      <c r="P6" s="1142"/>
      <c r="Q6" s="985" t="s">
        <v>3160</v>
      </c>
      <c r="R6" s="1144"/>
    </row>
    <row r="7" spans="1:18" s="983" customFormat="1" ht="13.8" thickBot="1" x14ac:dyDescent="0.3">
      <c r="A7" s="986" t="s">
        <v>3161</v>
      </c>
      <c r="B7" s="987" t="s">
        <v>3162</v>
      </c>
      <c r="C7" s="988" t="s">
        <v>3163</v>
      </c>
      <c r="D7" s="988" t="s">
        <v>3162</v>
      </c>
      <c r="E7" s="988" t="s">
        <v>3163</v>
      </c>
      <c r="F7" s="988" t="s">
        <v>3162</v>
      </c>
      <c r="G7" s="988" t="s">
        <v>3163</v>
      </c>
      <c r="H7" s="988" t="s">
        <v>3162</v>
      </c>
      <c r="I7" s="988" t="s">
        <v>3163</v>
      </c>
      <c r="J7" s="988" t="s">
        <v>3162</v>
      </c>
      <c r="K7" s="988" t="s">
        <v>3163</v>
      </c>
      <c r="L7" s="988" t="s">
        <v>3162</v>
      </c>
      <c r="M7" s="988" t="s">
        <v>3163</v>
      </c>
      <c r="N7" s="988" t="s">
        <v>3162</v>
      </c>
      <c r="O7" s="989" t="s">
        <v>3163</v>
      </c>
      <c r="P7" s="990" t="s">
        <v>3162</v>
      </c>
      <c r="Q7" s="991" t="s">
        <v>3162</v>
      </c>
      <c r="R7" s="992" t="s">
        <v>3162</v>
      </c>
    </row>
    <row r="8" spans="1:18" s="983" customFormat="1" x14ac:dyDescent="0.25">
      <c r="A8" s="993" t="s">
        <v>3164</v>
      </c>
      <c r="B8" s="994"/>
      <c r="C8" s="995"/>
      <c r="D8" s="995"/>
      <c r="E8" s="995"/>
      <c r="F8" s="995"/>
      <c r="G8" s="995"/>
      <c r="H8" s="995"/>
      <c r="I8" s="995"/>
      <c r="J8" s="995"/>
      <c r="K8" s="995"/>
      <c r="L8" s="995"/>
      <c r="M8" s="995"/>
      <c r="N8" s="995"/>
      <c r="O8" s="996"/>
      <c r="P8" s="997"/>
      <c r="Q8" s="998"/>
      <c r="R8" s="998"/>
    </row>
    <row r="9" spans="1:18" s="983" customFormat="1" x14ac:dyDescent="0.25">
      <c r="A9" s="999" t="s">
        <v>3986</v>
      </c>
      <c r="B9" s="1000">
        <v>10</v>
      </c>
      <c r="C9" s="1001">
        <v>10</v>
      </c>
      <c r="D9" s="1001"/>
      <c r="E9" s="1001"/>
      <c r="F9" s="1001">
        <v>7</v>
      </c>
      <c r="G9" s="1001">
        <v>5</v>
      </c>
      <c r="H9" s="1001"/>
      <c r="I9" s="1001"/>
      <c r="J9" s="1001"/>
      <c r="K9" s="1001"/>
      <c r="L9" s="1001"/>
      <c r="M9" s="1001"/>
      <c r="N9" s="1001">
        <f>B9+D9+F9+H9+J9+L9</f>
        <v>17</v>
      </c>
      <c r="O9" s="1002">
        <f>C9+E9+G9+K9+M9</f>
        <v>15</v>
      </c>
      <c r="P9" s="872"/>
      <c r="Q9" s="1003"/>
      <c r="R9" s="1003">
        <f>N9+P9+Q9</f>
        <v>17</v>
      </c>
    </row>
    <row r="10" spans="1:18" s="983" customFormat="1" x14ac:dyDescent="0.25">
      <c r="A10" s="999" t="s">
        <v>3987</v>
      </c>
      <c r="B10" s="1000">
        <v>4</v>
      </c>
      <c r="C10" s="1001">
        <v>4</v>
      </c>
      <c r="D10" s="1001"/>
      <c r="E10" s="1001"/>
      <c r="F10" s="1001">
        <v>5</v>
      </c>
      <c r="G10" s="1001">
        <v>4</v>
      </c>
      <c r="H10" s="1001"/>
      <c r="I10" s="1001"/>
      <c r="J10" s="1001"/>
      <c r="K10" s="1001"/>
      <c r="L10" s="1001"/>
      <c r="M10" s="1001"/>
      <c r="N10" s="1001">
        <f t="shared" ref="N10:N22" si="0">B10+D10+F10+H10+J10+L10</f>
        <v>9</v>
      </c>
      <c r="O10" s="1002">
        <f t="shared" ref="O10:O22" si="1">C10+E10+G10+K10+M10</f>
        <v>8</v>
      </c>
      <c r="P10" s="872"/>
      <c r="Q10" s="1003"/>
      <c r="R10" s="1003">
        <f t="shared" ref="R10:R22" si="2">N10+P10+Q10</f>
        <v>9</v>
      </c>
    </row>
    <row r="11" spans="1:18" s="983" customFormat="1" x14ac:dyDescent="0.25">
      <c r="A11" s="999" t="s">
        <v>3988</v>
      </c>
      <c r="B11" s="1000">
        <v>5</v>
      </c>
      <c r="C11" s="1001">
        <v>4.5</v>
      </c>
      <c r="D11" s="1001"/>
      <c r="E11" s="1001"/>
      <c r="F11" s="1001">
        <v>1</v>
      </c>
      <c r="G11" s="1001">
        <v>1</v>
      </c>
      <c r="H11" s="1001"/>
      <c r="I11" s="1001"/>
      <c r="J11" s="1001"/>
      <c r="K11" s="1001"/>
      <c r="L11" s="1001"/>
      <c r="M11" s="1001"/>
      <c r="N11" s="1001">
        <f t="shared" si="0"/>
        <v>6</v>
      </c>
      <c r="O11" s="1002">
        <f t="shared" si="1"/>
        <v>5.5</v>
      </c>
      <c r="P11" s="872"/>
      <c r="Q11" s="1003"/>
      <c r="R11" s="1003">
        <f t="shared" si="2"/>
        <v>6</v>
      </c>
    </row>
    <row r="12" spans="1:18" s="983" customFormat="1" x14ac:dyDescent="0.25">
      <c r="A12" s="999" t="s">
        <v>3989</v>
      </c>
      <c r="B12" s="1000">
        <v>2</v>
      </c>
      <c r="C12" s="1001">
        <v>2</v>
      </c>
      <c r="D12" s="1001"/>
      <c r="E12" s="1001"/>
      <c r="F12" s="1001"/>
      <c r="G12" s="1001"/>
      <c r="H12" s="1001"/>
      <c r="I12" s="1001"/>
      <c r="J12" s="1001"/>
      <c r="K12" s="1001"/>
      <c r="L12" s="1001"/>
      <c r="M12" s="1001"/>
      <c r="N12" s="1001">
        <f t="shared" si="0"/>
        <v>2</v>
      </c>
      <c r="O12" s="1002">
        <f t="shared" si="1"/>
        <v>2</v>
      </c>
      <c r="P12" s="872"/>
      <c r="Q12" s="1003"/>
      <c r="R12" s="1003">
        <f t="shared" si="2"/>
        <v>2</v>
      </c>
    </row>
    <row r="13" spans="1:18" s="983" customFormat="1" x14ac:dyDescent="0.25">
      <c r="A13" s="999" t="s">
        <v>3990</v>
      </c>
      <c r="B13" s="1000">
        <v>8</v>
      </c>
      <c r="C13" s="1001">
        <v>8</v>
      </c>
      <c r="D13" s="1001"/>
      <c r="E13" s="1001"/>
      <c r="F13" s="1001"/>
      <c r="G13" s="1001"/>
      <c r="H13" s="1001"/>
      <c r="I13" s="1001"/>
      <c r="J13" s="1001"/>
      <c r="K13" s="1001"/>
      <c r="L13" s="1001"/>
      <c r="M13" s="1001"/>
      <c r="N13" s="1001">
        <f t="shared" si="0"/>
        <v>8</v>
      </c>
      <c r="O13" s="1002">
        <f t="shared" si="1"/>
        <v>8</v>
      </c>
      <c r="P13" s="872"/>
      <c r="Q13" s="1003"/>
      <c r="R13" s="1003">
        <f t="shared" si="2"/>
        <v>8</v>
      </c>
    </row>
    <row r="14" spans="1:18" s="1005" customFormat="1" x14ac:dyDescent="0.25">
      <c r="A14" s="999" t="s">
        <v>3991</v>
      </c>
      <c r="B14" s="1000">
        <v>2</v>
      </c>
      <c r="C14" s="1001">
        <v>2</v>
      </c>
      <c r="D14" s="1001"/>
      <c r="E14" s="1001"/>
      <c r="F14" s="1001">
        <v>2</v>
      </c>
      <c r="G14" s="1001">
        <v>2</v>
      </c>
      <c r="H14" s="1001"/>
      <c r="I14" s="1001"/>
      <c r="J14" s="1001"/>
      <c r="K14" s="1001"/>
      <c r="L14" s="1001"/>
      <c r="M14" s="1001"/>
      <c r="N14" s="1001">
        <f t="shared" si="0"/>
        <v>4</v>
      </c>
      <c r="O14" s="1002">
        <f t="shared" si="1"/>
        <v>4</v>
      </c>
      <c r="P14" s="872">
        <v>1</v>
      </c>
      <c r="Q14" s="1003"/>
      <c r="R14" s="1004">
        <f t="shared" si="2"/>
        <v>5</v>
      </c>
    </row>
    <row r="15" spans="1:18" s="983" customFormat="1" x14ac:dyDescent="0.25">
      <c r="A15" s="999" t="s">
        <v>3992</v>
      </c>
      <c r="B15" s="1000">
        <v>7</v>
      </c>
      <c r="C15" s="1001">
        <v>7</v>
      </c>
      <c r="D15" s="1001"/>
      <c r="E15" s="1001"/>
      <c r="F15" s="1001"/>
      <c r="G15" s="1001"/>
      <c r="H15" s="1001"/>
      <c r="I15" s="1001"/>
      <c r="J15" s="1001"/>
      <c r="K15" s="1001"/>
      <c r="L15" s="1001"/>
      <c r="M15" s="1001"/>
      <c r="N15" s="1001">
        <f t="shared" si="0"/>
        <v>7</v>
      </c>
      <c r="O15" s="1002">
        <f t="shared" si="1"/>
        <v>7</v>
      </c>
      <c r="P15" s="872"/>
      <c r="Q15" s="1003"/>
      <c r="R15" s="1003">
        <f t="shared" si="2"/>
        <v>7</v>
      </c>
    </row>
    <row r="16" spans="1:18" s="983" customFormat="1" x14ac:dyDescent="0.25">
      <c r="A16" s="999" t="s">
        <v>3993</v>
      </c>
      <c r="B16" s="1000">
        <v>5</v>
      </c>
      <c r="C16" s="1001">
        <v>5</v>
      </c>
      <c r="D16" s="1001"/>
      <c r="E16" s="1001"/>
      <c r="F16" s="1001"/>
      <c r="G16" s="1001"/>
      <c r="H16" s="1001"/>
      <c r="I16" s="1001"/>
      <c r="J16" s="1001"/>
      <c r="K16" s="1001"/>
      <c r="L16" s="1001"/>
      <c r="M16" s="1001"/>
      <c r="N16" s="1001">
        <f t="shared" si="0"/>
        <v>5</v>
      </c>
      <c r="O16" s="1002">
        <f t="shared" si="1"/>
        <v>5</v>
      </c>
      <c r="P16" s="872"/>
      <c r="Q16" s="1003"/>
      <c r="R16" s="1003">
        <f t="shared" si="2"/>
        <v>5</v>
      </c>
    </row>
    <row r="17" spans="1:18" s="1005" customFormat="1" x14ac:dyDescent="0.25">
      <c r="A17" s="999" t="s">
        <v>3994</v>
      </c>
      <c r="B17" s="1000">
        <v>8</v>
      </c>
      <c r="C17" s="1001">
        <v>8</v>
      </c>
      <c r="D17" s="1001"/>
      <c r="E17" s="1001"/>
      <c r="F17" s="1001">
        <v>1</v>
      </c>
      <c r="G17" s="1001">
        <v>0.5</v>
      </c>
      <c r="H17" s="1001"/>
      <c r="I17" s="1001"/>
      <c r="J17" s="1001"/>
      <c r="K17" s="1001"/>
      <c r="L17" s="1001"/>
      <c r="M17" s="1001"/>
      <c r="N17" s="1001">
        <f t="shared" si="0"/>
        <v>9</v>
      </c>
      <c r="O17" s="1002">
        <f t="shared" si="1"/>
        <v>8.5</v>
      </c>
      <c r="P17" s="872"/>
      <c r="Q17" s="1003"/>
      <c r="R17" s="1003">
        <f t="shared" si="2"/>
        <v>9</v>
      </c>
    </row>
    <row r="18" spans="1:18" s="983" customFormat="1" x14ac:dyDescent="0.25">
      <c r="A18" s="999" t="s">
        <v>3995</v>
      </c>
      <c r="B18" s="1000">
        <v>4</v>
      </c>
      <c r="C18" s="1001">
        <v>4</v>
      </c>
      <c r="D18" s="1001"/>
      <c r="E18" s="1001"/>
      <c r="F18" s="1001"/>
      <c r="G18" s="1001"/>
      <c r="H18" s="1001"/>
      <c r="I18" s="1001"/>
      <c r="J18" s="1001"/>
      <c r="K18" s="1001"/>
      <c r="L18" s="1001"/>
      <c r="M18" s="1001"/>
      <c r="N18" s="1001">
        <f t="shared" si="0"/>
        <v>4</v>
      </c>
      <c r="O18" s="1002">
        <f t="shared" si="1"/>
        <v>4</v>
      </c>
      <c r="P18" s="872"/>
      <c r="Q18" s="1003"/>
      <c r="R18" s="1003">
        <f t="shared" si="2"/>
        <v>4</v>
      </c>
    </row>
    <row r="19" spans="1:18" s="983" customFormat="1" x14ac:dyDescent="0.25">
      <c r="A19" s="999" t="s">
        <v>3996</v>
      </c>
      <c r="B19" s="1000">
        <v>9</v>
      </c>
      <c r="C19" s="1001">
        <v>9</v>
      </c>
      <c r="D19" s="1001"/>
      <c r="E19" s="1001"/>
      <c r="F19" s="1001">
        <v>1</v>
      </c>
      <c r="G19" s="1001">
        <v>0.5</v>
      </c>
      <c r="H19" s="1001"/>
      <c r="I19" s="1001"/>
      <c r="J19" s="1001"/>
      <c r="K19" s="1001"/>
      <c r="L19" s="1001"/>
      <c r="M19" s="1001"/>
      <c r="N19" s="1001">
        <f t="shared" si="0"/>
        <v>10</v>
      </c>
      <c r="O19" s="1002">
        <f t="shared" si="1"/>
        <v>9.5</v>
      </c>
      <c r="P19" s="872"/>
      <c r="Q19" s="1003"/>
      <c r="R19" s="1003">
        <f t="shared" si="2"/>
        <v>10</v>
      </c>
    </row>
    <row r="20" spans="1:18" s="983" customFormat="1" x14ac:dyDescent="0.25">
      <c r="A20" s="999" t="s">
        <v>3997</v>
      </c>
      <c r="B20" s="1000">
        <v>1</v>
      </c>
      <c r="C20" s="1001">
        <v>1</v>
      </c>
      <c r="D20" s="1001"/>
      <c r="E20" s="1001"/>
      <c r="F20" s="1001">
        <v>1</v>
      </c>
      <c r="G20" s="1001">
        <v>1</v>
      </c>
      <c r="H20" s="1001"/>
      <c r="I20" s="1001"/>
      <c r="J20" s="1001"/>
      <c r="K20" s="1001"/>
      <c r="L20" s="1001"/>
      <c r="M20" s="1001"/>
      <c r="N20" s="1001">
        <f t="shared" si="0"/>
        <v>2</v>
      </c>
      <c r="O20" s="1002">
        <f t="shared" si="1"/>
        <v>2</v>
      </c>
      <c r="P20" s="872"/>
      <c r="Q20" s="1003"/>
      <c r="R20" s="1003">
        <f t="shared" si="2"/>
        <v>2</v>
      </c>
    </row>
    <row r="21" spans="1:18" s="983" customFormat="1" x14ac:dyDescent="0.25">
      <c r="A21" s="999" t="s">
        <v>3998</v>
      </c>
      <c r="B21" s="1000">
        <v>4</v>
      </c>
      <c r="C21" s="1001">
        <v>4</v>
      </c>
      <c r="D21" s="1001">
        <v>2</v>
      </c>
      <c r="E21" s="1001">
        <v>2</v>
      </c>
      <c r="F21" s="1001"/>
      <c r="G21" s="1001"/>
      <c r="H21" s="1001"/>
      <c r="I21" s="1001"/>
      <c r="J21" s="1001"/>
      <c r="K21" s="1001"/>
      <c r="L21" s="1001"/>
      <c r="M21" s="1001"/>
      <c r="N21" s="1001">
        <f t="shared" si="0"/>
        <v>6</v>
      </c>
      <c r="O21" s="1002">
        <f t="shared" si="1"/>
        <v>6</v>
      </c>
      <c r="P21" s="872"/>
      <c r="Q21" s="1003"/>
      <c r="R21" s="1003">
        <f t="shared" si="2"/>
        <v>6</v>
      </c>
    </row>
    <row r="22" spans="1:18" s="983" customFormat="1" x14ac:dyDescent="0.25">
      <c r="A22" s="999" t="s">
        <v>3999</v>
      </c>
      <c r="B22" s="1000"/>
      <c r="C22" s="1001"/>
      <c r="D22" s="1001"/>
      <c r="E22" s="1001"/>
      <c r="F22" s="1001"/>
      <c r="G22" s="1001"/>
      <c r="H22" s="1001"/>
      <c r="I22" s="1001"/>
      <c r="J22" s="1001">
        <v>10</v>
      </c>
      <c r="K22" s="1001">
        <v>10</v>
      </c>
      <c r="L22" s="1001"/>
      <c r="M22" s="1001"/>
      <c r="N22" s="1001">
        <f t="shared" si="0"/>
        <v>10</v>
      </c>
      <c r="O22" s="1002">
        <f t="shared" si="1"/>
        <v>10</v>
      </c>
      <c r="P22" s="872"/>
      <c r="Q22" s="1003"/>
      <c r="R22" s="1003">
        <f t="shared" si="2"/>
        <v>10</v>
      </c>
    </row>
    <row r="23" spans="1:18" s="1027" customFormat="1" ht="13.8" thickBot="1" x14ac:dyDescent="0.3">
      <c r="A23" s="1032" t="s">
        <v>15</v>
      </c>
      <c r="B23" s="1028">
        <f t="shared" ref="B23:R23" si="3">SUM(B9:B22)</f>
        <v>69</v>
      </c>
      <c r="C23" s="1028">
        <f t="shared" si="3"/>
        <v>68.5</v>
      </c>
      <c r="D23" s="1028">
        <f t="shared" si="3"/>
        <v>2</v>
      </c>
      <c r="E23" s="1028">
        <f t="shared" si="3"/>
        <v>2</v>
      </c>
      <c r="F23" s="1028">
        <f t="shared" si="3"/>
        <v>18</v>
      </c>
      <c r="G23" s="1028">
        <f t="shared" si="3"/>
        <v>14</v>
      </c>
      <c r="H23" s="1028">
        <f t="shared" si="3"/>
        <v>0</v>
      </c>
      <c r="I23" s="1028">
        <f t="shared" si="3"/>
        <v>0</v>
      </c>
      <c r="J23" s="1028">
        <f t="shared" si="3"/>
        <v>10</v>
      </c>
      <c r="K23" s="1028">
        <f t="shared" si="3"/>
        <v>10</v>
      </c>
      <c r="L23" s="1028">
        <f t="shared" si="3"/>
        <v>0</v>
      </c>
      <c r="M23" s="1028">
        <f t="shared" si="3"/>
        <v>0</v>
      </c>
      <c r="N23" s="1028">
        <f t="shared" si="3"/>
        <v>99</v>
      </c>
      <c r="O23" s="1029">
        <f t="shared" si="3"/>
        <v>94.5</v>
      </c>
      <c r="P23" s="1030">
        <f t="shared" si="3"/>
        <v>1</v>
      </c>
      <c r="Q23" s="1031">
        <f t="shared" si="3"/>
        <v>0</v>
      </c>
      <c r="R23" s="1031">
        <f t="shared" si="3"/>
        <v>100</v>
      </c>
    </row>
    <row r="24" spans="1:18" s="983" customFormat="1" x14ac:dyDescent="0.25">
      <c r="A24" s="1006" t="s">
        <v>3165</v>
      </c>
      <c r="B24" s="994"/>
      <c r="C24" s="995"/>
      <c r="D24" s="995"/>
      <c r="E24" s="995"/>
      <c r="F24" s="995"/>
      <c r="G24" s="995"/>
      <c r="H24" s="995"/>
      <c r="I24" s="995"/>
      <c r="J24" s="995"/>
      <c r="K24" s="995"/>
      <c r="L24" s="995"/>
      <c r="M24" s="995"/>
      <c r="N24" s="995"/>
      <c r="O24" s="996"/>
      <c r="P24" s="997"/>
      <c r="Q24" s="998"/>
      <c r="R24" s="998"/>
    </row>
    <row r="25" spans="1:18" s="983" customFormat="1" x14ac:dyDescent="0.25">
      <c r="A25" s="1007" t="s">
        <v>3166</v>
      </c>
      <c r="B25" s="1008">
        <f>SUM(B26:B32)</f>
        <v>0</v>
      </c>
      <c r="C25" s="1008">
        <f t="shared" ref="C25:R25" si="4">SUM(C26:C32)</f>
        <v>0</v>
      </c>
      <c r="D25" s="1008">
        <f t="shared" si="4"/>
        <v>0</v>
      </c>
      <c r="E25" s="1008">
        <f t="shared" si="4"/>
        <v>0</v>
      </c>
      <c r="F25" s="1008">
        <f t="shared" si="4"/>
        <v>0</v>
      </c>
      <c r="G25" s="1008">
        <f t="shared" si="4"/>
        <v>0</v>
      </c>
      <c r="H25" s="1008">
        <f t="shared" si="4"/>
        <v>0</v>
      </c>
      <c r="I25" s="1008">
        <f t="shared" si="4"/>
        <v>0</v>
      </c>
      <c r="J25" s="1008">
        <f t="shared" si="4"/>
        <v>32</v>
      </c>
      <c r="K25" s="1008">
        <f t="shared" si="4"/>
        <v>31.5</v>
      </c>
      <c r="L25" s="1008">
        <f t="shared" si="4"/>
        <v>0</v>
      </c>
      <c r="M25" s="1008">
        <f t="shared" si="4"/>
        <v>0</v>
      </c>
      <c r="N25" s="1008">
        <f t="shared" si="4"/>
        <v>32</v>
      </c>
      <c r="O25" s="1009">
        <f t="shared" si="4"/>
        <v>31.5</v>
      </c>
      <c r="P25" s="1010">
        <f t="shared" si="4"/>
        <v>0</v>
      </c>
      <c r="Q25" s="1011">
        <f t="shared" si="4"/>
        <v>0</v>
      </c>
      <c r="R25" s="1008">
        <f t="shared" si="4"/>
        <v>32</v>
      </c>
    </row>
    <row r="26" spans="1:18" s="983" customFormat="1" x14ac:dyDescent="0.25">
      <c r="A26" s="1012" t="s">
        <v>88</v>
      </c>
      <c r="B26" s="1013"/>
      <c r="C26" s="1014"/>
      <c r="D26" s="1014"/>
      <c r="E26" s="1014"/>
      <c r="F26" s="1014"/>
      <c r="G26" s="1014"/>
      <c r="H26" s="1014"/>
      <c r="I26" s="1014"/>
      <c r="J26" s="1014">
        <v>6</v>
      </c>
      <c r="K26" s="1014">
        <v>6</v>
      </c>
      <c r="L26" s="1014"/>
      <c r="M26" s="1014"/>
      <c r="N26" s="1014">
        <f t="shared" ref="N26:N32" si="5">B26+D26+F26+H26+J26+L26</f>
        <v>6</v>
      </c>
      <c r="O26" s="1015">
        <f t="shared" ref="O26:O32" si="6">C26+E26+G26+K26+M26</f>
        <v>6</v>
      </c>
      <c r="P26" s="1016"/>
      <c r="Q26" s="1017"/>
      <c r="R26" s="1017">
        <f t="shared" ref="R26:R32" si="7">N26+P26+Q26</f>
        <v>6</v>
      </c>
    </row>
    <row r="27" spans="1:18" s="983" customFormat="1" x14ac:dyDescent="0.25">
      <c r="A27" s="1012" t="s">
        <v>4000</v>
      </c>
      <c r="B27" s="1013"/>
      <c r="C27" s="1014"/>
      <c r="D27" s="1014"/>
      <c r="E27" s="1014"/>
      <c r="F27" s="1014"/>
      <c r="G27" s="1014"/>
      <c r="H27" s="1014"/>
      <c r="I27" s="1014"/>
      <c r="J27" s="1014">
        <v>3</v>
      </c>
      <c r="K27" s="1014">
        <v>3</v>
      </c>
      <c r="L27" s="1014"/>
      <c r="M27" s="1014"/>
      <c r="N27" s="1014">
        <f t="shared" si="5"/>
        <v>3</v>
      </c>
      <c r="O27" s="1015">
        <f t="shared" si="6"/>
        <v>3</v>
      </c>
      <c r="P27" s="1016"/>
      <c r="Q27" s="1017"/>
      <c r="R27" s="1017">
        <f t="shared" si="7"/>
        <v>3</v>
      </c>
    </row>
    <row r="28" spans="1:18" s="983" customFormat="1" x14ac:dyDescent="0.25">
      <c r="A28" s="1012" t="s">
        <v>87</v>
      </c>
      <c r="B28" s="1013"/>
      <c r="C28" s="1014"/>
      <c r="D28" s="1014"/>
      <c r="E28" s="1014"/>
      <c r="F28" s="1014"/>
      <c r="G28" s="1014"/>
      <c r="H28" s="1014"/>
      <c r="I28" s="1014"/>
      <c r="J28" s="1014">
        <v>7</v>
      </c>
      <c r="K28" s="1014">
        <v>6.5</v>
      </c>
      <c r="L28" s="1014"/>
      <c r="M28" s="1014"/>
      <c r="N28" s="1014">
        <f t="shared" si="5"/>
        <v>7</v>
      </c>
      <c r="O28" s="1015">
        <f t="shared" si="6"/>
        <v>6.5</v>
      </c>
      <c r="P28" s="1016"/>
      <c r="Q28" s="1017"/>
      <c r="R28" s="1017">
        <f t="shared" si="7"/>
        <v>7</v>
      </c>
    </row>
    <row r="29" spans="1:18" s="983" customFormat="1" x14ac:dyDescent="0.25">
      <c r="A29" s="1012" t="s">
        <v>4001</v>
      </c>
      <c r="B29" s="1013"/>
      <c r="C29" s="1014"/>
      <c r="D29" s="1014"/>
      <c r="E29" s="1014"/>
      <c r="F29" s="1014"/>
      <c r="G29" s="1014"/>
      <c r="H29" s="1014"/>
      <c r="I29" s="1014"/>
      <c r="J29" s="1014">
        <v>4</v>
      </c>
      <c r="K29" s="1014">
        <v>4</v>
      </c>
      <c r="L29" s="1014"/>
      <c r="M29" s="1014"/>
      <c r="N29" s="1014">
        <f t="shared" si="5"/>
        <v>4</v>
      </c>
      <c r="O29" s="1015">
        <f t="shared" si="6"/>
        <v>4</v>
      </c>
      <c r="P29" s="1016"/>
      <c r="Q29" s="1017"/>
      <c r="R29" s="1017">
        <f t="shared" si="7"/>
        <v>4</v>
      </c>
    </row>
    <row r="30" spans="1:18" s="983" customFormat="1" x14ac:dyDescent="0.25">
      <c r="A30" s="1012" t="s">
        <v>4002</v>
      </c>
      <c r="B30" s="1013"/>
      <c r="C30" s="1014"/>
      <c r="D30" s="1014"/>
      <c r="E30" s="1014"/>
      <c r="F30" s="1014"/>
      <c r="G30" s="1014"/>
      <c r="H30" s="1014"/>
      <c r="I30" s="1014"/>
      <c r="J30" s="1014">
        <v>7</v>
      </c>
      <c r="K30" s="1014">
        <v>7</v>
      </c>
      <c r="L30" s="1014"/>
      <c r="M30" s="1014"/>
      <c r="N30" s="1014">
        <f t="shared" si="5"/>
        <v>7</v>
      </c>
      <c r="O30" s="1015">
        <f t="shared" si="6"/>
        <v>7</v>
      </c>
      <c r="P30" s="1016"/>
      <c r="Q30" s="1017"/>
      <c r="R30" s="1017">
        <f t="shared" si="7"/>
        <v>7</v>
      </c>
    </row>
    <row r="31" spans="1:18" s="983" customFormat="1" x14ac:dyDescent="0.25">
      <c r="A31" s="1012" t="s">
        <v>4003</v>
      </c>
      <c r="B31" s="1013"/>
      <c r="C31" s="1014"/>
      <c r="D31" s="1014"/>
      <c r="E31" s="1014"/>
      <c r="F31" s="1014"/>
      <c r="G31" s="1014"/>
      <c r="H31" s="1014"/>
      <c r="I31" s="1014"/>
      <c r="J31" s="1014">
        <v>3</v>
      </c>
      <c r="K31" s="1014">
        <v>3</v>
      </c>
      <c r="L31" s="1014"/>
      <c r="M31" s="1014"/>
      <c r="N31" s="1014">
        <f t="shared" si="5"/>
        <v>3</v>
      </c>
      <c r="O31" s="1015">
        <f t="shared" si="6"/>
        <v>3</v>
      </c>
      <c r="P31" s="1016"/>
      <c r="Q31" s="1017"/>
      <c r="R31" s="1017">
        <f t="shared" si="7"/>
        <v>3</v>
      </c>
    </row>
    <row r="32" spans="1:18" s="983" customFormat="1" x14ac:dyDescent="0.25">
      <c r="A32" s="1012" t="s">
        <v>4004</v>
      </c>
      <c r="B32" s="1013"/>
      <c r="C32" s="1014"/>
      <c r="D32" s="1014"/>
      <c r="E32" s="1014"/>
      <c r="F32" s="1014"/>
      <c r="G32" s="1014"/>
      <c r="H32" s="1014"/>
      <c r="I32" s="1014"/>
      <c r="J32" s="1014">
        <v>2</v>
      </c>
      <c r="K32" s="1014">
        <v>2</v>
      </c>
      <c r="L32" s="1014"/>
      <c r="M32" s="1014"/>
      <c r="N32" s="1014">
        <f t="shared" si="5"/>
        <v>2</v>
      </c>
      <c r="O32" s="1015">
        <f t="shared" si="6"/>
        <v>2</v>
      </c>
      <c r="P32" s="1016"/>
      <c r="Q32" s="1017"/>
      <c r="R32" s="1017">
        <f t="shared" si="7"/>
        <v>2</v>
      </c>
    </row>
    <row r="33" spans="1:18" s="983" customFormat="1" ht="13.8" thickBot="1" x14ac:dyDescent="0.3">
      <c r="A33" s="1018" t="s">
        <v>3167</v>
      </c>
      <c r="B33" s="1019"/>
      <c r="C33" s="1020"/>
      <c r="D33" s="1020"/>
      <c r="E33" s="1020"/>
      <c r="F33" s="1020"/>
      <c r="G33" s="1020"/>
      <c r="H33" s="1020"/>
      <c r="I33" s="1020"/>
      <c r="J33" s="1020"/>
      <c r="K33" s="1020"/>
      <c r="L33" s="1020"/>
      <c r="M33" s="1020"/>
      <c r="N33" s="1020"/>
      <c r="O33" s="1021"/>
      <c r="P33" s="1022"/>
      <c r="Q33" s="1023"/>
      <c r="R33" s="1024"/>
    </row>
    <row r="34" spans="1:18" s="983" customFormat="1" ht="13.8" thickBot="1" x14ac:dyDescent="0.3">
      <c r="A34" s="111" t="s">
        <v>2602</v>
      </c>
      <c r="B34" s="1025">
        <f>B23+B25</f>
        <v>69</v>
      </c>
      <c r="C34" s="1025">
        <f t="shared" ref="C34:R34" si="8">C23+C25</f>
        <v>68.5</v>
      </c>
      <c r="D34" s="1025">
        <f t="shared" si="8"/>
        <v>2</v>
      </c>
      <c r="E34" s="1025">
        <f t="shared" si="8"/>
        <v>2</v>
      </c>
      <c r="F34" s="1025">
        <f t="shared" si="8"/>
        <v>18</v>
      </c>
      <c r="G34" s="1025">
        <f t="shared" si="8"/>
        <v>14</v>
      </c>
      <c r="H34" s="1025">
        <f t="shared" si="8"/>
        <v>0</v>
      </c>
      <c r="I34" s="1025">
        <f t="shared" si="8"/>
        <v>0</v>
      </c>
      <c r="J34" s="1025">
        <f t="shared" si="8"/>
        <v>42</v>
      </c>
      <c r="K34" s="1025">
        <f t="shared" si="8"/>
        <v>41.5</v>
      </c>
      <c r="L34" s="1025">
        <f t="shared" si="8"/>
        <v>0</v>
      </c>
      <c r="M34" s="1025">
        <f t="shared" si="8"/>
        <v>0</v>
      </c>
      <c r="N34" s="1025">
        <f t="shared" si="8"/>
        <v>131</v>
      </c>
      <c r="O34" s="1025">
        <f t="shared" si="8"/>
        <v>126</v>
      </c>
      <c r="P34" s="1025">
        <f t="shared" si="8"/>
        <v>1</v>
      </c>
      <c r="Q34" s="1025">
        <f t="shared" si="8"/>
        <v>0</v>
      </c>
      <c r="R34" s="1025">
        <f t="shared" si="8"/>
        <v>132</v>
      </c>
    </row>
    <row r="35" spans="1:18" s="983" customFormat="1" x14ac:dyDescent="0.25">
      <c r="A35" s="1026"/>
      <c r="N35" s="1027"/>
      <c r="O35" s="1027"/>
      <c r="R35" s="1027"/>
    </row>
  </sheetData>
  <mergeCells count="17">
    <mergeCell ref="H6:I6"/>
    <mergeCell ref="J6:K6"/>
    <mergeCell ref="L6:M6"/>
    <mergeCell ref="A3:R4"/>
    <mergeCell ref="A5:A6"/>
    <mergeCell ref="B5:C5"/>
    <mergeCell ref="D5:E5"/>
    <mergeCell ref="F5:G5"/>
    <mergeCell ref="H5:I5"/>
    <mergeCell ref="J5:K5"/>
    <mergeCell ref="L5:M5"/>
    <mergeCell ref="N5:O6"/>
    <mergeCell ref="P5:P6"/>
    <mergeCell ref="R5:R6"/>
    <mergeCell ref="B6:C6"/>
    <mergeCell ref="D6:E6"/>
    <mergeCell ref="F6:G6"/>
  </mergeCells>
  <conditionalFormatting sqref="B20:R22 B15:R16 B9:R13">
    <cfRule type="cellIs" dxfId="13" priority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R68"/>
  <sheetViews>
    <sheetView showGridLines="0" zoomScale="85" zoomScaleNormal="85" workbookViewId="0">
      <selection activeCell="U46" sqref="U45:U46"/>
    </sheetView>
  </sheetViews>
  <sheetFormatPr defaultColWidth="7.77734375" defaultRowHeight="13.2" x14ac:dyDescent="0.25"/>
  <cols>
    <col min="1" max="1" width="26.109375" style="963" customWidth="1"/>
    <col min="2" max="3" width="7.21875" style="963" customWidth="1"/>
    <col min="4" max="4" width="6.88671875" style="963" customWidth="1"/>
    <col min="5" max="5" width="6.77734375" style="963" customWidth="1"/>
    <col min="6" max="6" width="7.21875" style="963" customWidth="1"/>
    <col min="7" max="7" width="6.6640625" style="963" customWidth="1"/>
    <col min="8" max="10" width="7.21875" style="963" customWidth="1"/>
    <col min="11" max="11" width="9.44140625" style="963" customWidth="1"/>
    <col min="12" max="12" width="10.88671875" style="963" customWidth="1"/>
    <col min="13" max="15" width="7.77734375" style="963"/>
    <col min="16" max="16" width="11.33203125" style="963" customWidth="1"/>
    <col min="17" max="16384" width="7.77734375" style="963"/>
  </cols>
  <sheetData>
    <row r="1" spans="1:18" ht="21" x14ac:dyDescent="0.4">
      <c r="A1" s="1033" t="s">
        <v>4005</v>
      </c>
    </row>
    <row r="2" spans="1:18" ht="13.8" thickBot="1" x14ac:dyDescent="0.3"/>
    <row r="3" spans="1:18" x14ac:dyDescent="0.25">
      <c r="A3" s="1126" t="s">
        <v>3209</v>
      </c>
      <c r="B3" s="1127"/>
      <c r="C3" s="1127"/>
      <c r="D3" s="1127"/>
      <c r="E3" s="1127"/>
      <c r="F3" s="1127"/>
      <c r="G3" s="1127"/>
      <c r="H3" s="1127"/>
      <c r="I3" s="1127"/>
      <c r="J3" s="1127"/>
      <c r="K3" s="1127"/>
      <c r="L3" s="1127"/>
      <c r="M3" s="1127"/>
      <c r="N3" s="1127"/>
      <c r="O3" s="1127"/>
      <c r="P3" s="1127"/>
      <c r="Q3" s="1127"/>
      <c r="R3" s="1128"/>
    </row>
    <row r="4" spans="1:18" ht="13.8" thickBot="1" x14ac:dyDescent="0.3">
      <c r="A4" s="1129"/>
      <c r="B4" s="1130"/>
      <c r="C4" s="1130"/>
      <c r="D4" s="1130"/>
      <c r="E4" s="1130"/>
      <c r="F4" s="1130"/>
      <c r="G4" s="1130"/>
      <c r="H4" s="1130"/>
      <c r="I4" s="1130"/>
      <c r="J4" s="1130"/>
      <c r="K4" s="1130"/>
      <c r="L4" s="1130"/>
      <c r="M4" s="1130"/>
      <c r="N4" s="1130"/>
      <c r="O4" s="1130"/>
      <c r="P4" s="1130"/>
      <c r="Q4" s="1130"/>
      <c r="R4" s="1131"/>
    </row>
    <row r="5" spans="1:18" ht="27" customHeight="1" x14ac:dyDescent="0.25">
      <c r="A5" s="1132" t="s">
        <v>3144</v>
      </c>
      <c r="B5" s="1134" t="s">
        <v>3145</v>
      </c>
      <c r="C5" s="1135"/>
      <c r="D5" s="1135" t="s">
        <v>3146</v>
      </c>
      <c r="E5" s="1135"/>
      <c r="F5" s="1135" t="s">
        <v>3147</v>
      </c>
      <c r="G5" s="1135"/>
      <c r="H5" s="1135" t="s">
        <v>3148</v>
      </c>
      <c r="I5" s="1135"/>
      <c r="J5" s="1136" t="s">
        <v>3149</v>
      </c>
      <c r="K5" s="1134"/>
      <c r="L5" s="1135" t="s">
        <v>3150</v>
      </c>
      <c r="M5" s="1135"/>
      <c r="N5" s="1137" t="s">
        <v>2602</v>
      </c>
      <c r="O5" s="1138"/>
      <c r="P5" s="1141" t="s">
        <v>3151</v>
      </c>
      <c r="Q5" s="984" t="s">
        <v>3152</v>
      </c>
      <c r="R5" s="1143" t="s">
        <v>3153</v>
      </c>
    </row>
    <row r="6" spans="1:18" x14ac:dyDescent="0.25">
      <c r="A6" s="1133"/>
      <c r="B6" s="1145" t="s">
        <v>3154</v>
      </c>
      <c r="C6" s="1125"/>
      <c r="D6" s="1125" t="s">
        <v>3155</v>
      </c>
      <c r="E6" s="1125"/>
      <c r="F6" s="1125" t="s">
        <v>3156</v>
      </c>
      <c r="G6" s="1125"/>
      <c r="H6" s="1125" t="s">
        <v>3157</v>
      </c>
      <c r="I6" s="1125"/>
      <c r="J6" s="1125" t="s">
        <v>3158</v>
      </c>
      <c r="K6" s="1125"/>
      <c r="L6" s="1125" t="s">
        <v>3159</v>
      </c>
      <c r="M6" s="1125"/>
      <c r="N6" s="1139"/>
      <c r="O6" s="1140"/>
      <c r="P6" s="1142"/>
      <c r="Q6" s="985" t="s">
        <v>3160</v>
      </c>
      <c r="R6" s="1144"/>
    </row>
    <row r="7" spans="1:18" ht="13.8" thickBot="1" x14ac:dyDescent="0.3">
      <c r="A7" s="986" t="s">
        <v>3161</v>
      </c>
      <c r="B7" s="987" t="s">
        <v>3162</v>
      </c>
      <c r="C7" s="988" t="s">
        <v>3163</v>
      </c>
      <c r="D7" s="988" t="s">
        <v>3162</v>
      </c>
      <c r="E7" s="988" t="s">
        <v>3163</v>
      </c>
      <c r="F7" s="988" t="s">
        <v>3162</v>
      </c>
      <c r="G7" s="988" t="s">
        <v>3163</v>
      </c>
      <c r="H7" s="988" t="s">
        <v>3162</v>
      </c>
      <c r="I7" s="988" t="s">
        <v>3163</v>
      </c>
      <c r="J7" s="988" t="s">
        <v>3162</v>
      </c>
      <c r="K7" s="988" t="s">
        <v>3163</v>
      </c>
      <c r="L7" s="988" t="s">
        <v>3162</v>
      </c>
      <c r="M7" s="988" t="s">
        <v>3163</v>
      </c>
      <c r="N7" s="988" t="s">
        <v>3162</v>
      </c>
      <c r="O7" s="989" t="s">
        <v>3163</v>
      </c>
      <c r="P7" s="990" t="s">
        <v>3162</v>
      </c>
      <c r="Q7" s="991" t="s">
        <v>3162</v>
      </c>
      <c r="R7" s="992" t="s">
        <v>3162</v>
      </c>
    </row>
    <row r="8" spans="1:18" x14ac:dyDescent="0.25">
      <c r="A8" s="1034" t="s">
        <v>3164</v>
      </c>
      <c r="B8" s="1000"/>
      <c r="C8" s="1001"/>
      <c r="D8" s="1001"/>
      <c r="E8" s="1001"/>
      <c r="F8" s="1001"/>
      <c r="G8" s="1001"/>
      <c r="H8" s="1001"/>
      <c r="I8" s="1001"/>
      <c r="J8" s="1001"/>
      <c r="K8" s="1001"/>
      <c r="L8" s="1001"/>
      <c r="M8" s="1001"/>
      <c r="N8" s="1001"/>
      <c r="O8" s="1002"/>
      <c r="P8" s="872"/>
      <c r="Q8" s="1003"/>
      <c r="R8" s="1003"/>
    </row>
    <row r="9" spans="1:18" x14ac:dyDescent="0.25">
      <c r="A9" s="999" t="s">
        <v>3986</v>
      </c>
      <c r="B9" s="1000"/>
      <c r="C9" s="1001"/>
      <c r="D9" s="1001"/>
      <c r="E9" s="1001"/>
      <c r="F9" s="1001"/>
      <c r="G9" s="1001"/>
      <c r="H9" s="1001"/>
      <c r="I9" s="1001"/>
      <c r="J9" s="1001"/>
      <c r="K9" s="1001"/>
      <c r="L9" s="1001"/>
      <c r="M9" s="1001"/>
      <c r="N9" s="1001">
        <f>B9+D9+F9+H9+J9+L9</f>
        <v>0</v>
      </c>
      <c r="O9" s="1002">
        <f>C9+E9+G9+K9+M9</f>
        <v>0</v>
      </c>
      <c r="P9" s="872"/>
      <c r="Q9" s="1003"/>
      <c r="R9" s="1003">
        <f>N9+P9+Q9</f>
        <v>0</v>
      </c>
    </row>
    <row r="10" spans="1:18" x14ac:dyDescent="0.25">
      <c r="A10" s="999" t="s">
        <v>3987</v>
      </c>
      <c r="B10" s="1000"/>
      <c r="C10" s="1001"/>
      <c r="D10" s="1001"/>
      <c r="E10" s="1001"/>
      <c r="F10" s="1001"/>
      <c r="G10" s="1001"/>
      <c r="H10" s="1001"/>
      <c r="I10" s="1001"/>
      <c r="J10" s="1001"/>
      <c r="K10" s="1001"/>
      <c r="L10" s="1001"/>
      <c r="M10" s="1001"/>
      <c r="N10" s="1001">
        <f t="shared" ref="N10:N22" si="0">B10+D10+F10+H10+J10+L10</f>
        <v>0</v>
      </c>
      <c r="O10" s="1002">
        <f t="shared" ref="O10:O22" si="1">C10+E10+G10+K10+M10</f>
        <v>0</v>
      </c>
      <c r="P10" s="872"/>
      <c r="Q10" s="1003"/>
      <c r="R10" s="1003">
        <f t="shared" ref="R10:R22" si="2">N10+P10+Q10</f>
        <v>0</v>
      </c>
    </row>
    <row r="11" spans="1:18" x14ac:dyDescent="0.25">
      <c r="A11" s="999" t="s">
        <v>3988</v>
      </c>
      <c r="B11" s="1000"/>
      <c r="C11" s="1001"/>
      <c r="D11" s="1001"/>
      <c r="E11" s="1001"/>
      <c r="F11" s="1001"/>
      <c r="G11" s="1001"/>
      <c r="H11" s="1001"/>
      <c r="I11" s="1001"/>
      <c r="J11" s="1001"/>
      <c r="K11" s="1001"/>
      <c r="L11" s="1001"/>
      <c r="M11" s="1001"/>
      <c r="N11" s="1001">
        <f t="shared" si="0"/>
        <v>0</v>
      </c>
      <c r="O11" s="1002">
        <f t="shared" si="1"/>
        <v>0</v>
      </c>
      <c r="P11" s="872"/>
      <c r="Q11" s="1003"/>
      <c r="R11" s="1003">
        <f t="shared" si="2"/>
        <v>0</v>
      </c>
    </row>
    <row r="12" spans="1:18" x14ac:dyDescent="0.25">
      <c r="A12" s="999" t="s">
        <v>3989</v>
      </c>
      <c r="B12" s="1000">
        <v>1</v>
      </c>
      <c r="C12" s="1001">
        <v>1</v>
      </c>
      <c r="D12" s="1001"/>
      <c r="E12" s="1001"/>
      <c r="F12" s="1001"/>
      <c r="G12" s="1001"/>
      <c r="H12" s="1001"/>
      <c r="I12" s="1001"/>
      <c r="J12" s="1001"/>
      <c r="K12" s="1001"/>
      <c r="L12" s="1001"/>
      <c r="M12" s="1001"/>
      <c r="N12" s="1001">
        <f t="shared" si="0"/>
        <v>1</v>
      </c>
      <c r="O12" s="1002">
        <f t="shared" si="1"/>
        <v>1</v>
      </c>
      <c r="P12" s="872"/>
      <c r="Q12" s="1003"/>
      <c r="R12" s="1003">
        <f t="shared" si="2"/>
        <v>1</v>
      </c>
    </row>
    <row r="13" spans="1:18" x14ac:dyDescent="0.25">
      <c r="A13" s="999" t="s">
        <v>3990</v>
      </c>
      <c r="B13" s="1000"/>
      <c r="C13" s="1001"/>
      <c r="D13" s="1001"/>
      <c r="E13" s="1001"/>
      <c r="F13" s="1001"/>
      <c r="G13" s="1001"/>
      <c r="H13" s="1001"/>
      <c r="I13" s="1001"/>
      <c r="J13" s="1001"/>
      <c r="K13" s="1001"/>
      <c r="L13" s="1001"/>
      <c r="M13" s="1001"/>
      <c r="N13" s="1001">
        <f t="shared" si="0"/>
        <v>0</v>
      </c>
      <c r="O13" s="1002">
        <f t="shared" si="1"/>
        <v>0</v>
      </c>
      <c r="P13" s="872"/>
      <c r="Q13" s="1003"/>
      <c r="R13" s="1003">
        <f t="shared" si="2"/>
        <v>0</v>
      </c>
    </row>
    <row r="14" spans="1:18" x14ac:dyDescent="0.25">
      <c r="A14" s="999" t="s">
        <v>3991</v>
      </c>
      <c r="B14" s="1000"/>
      <c r="C14" s="1001"/>
      <c r="D14" s="1001"/>
      <c r="E14" s="1001"/>
      <c r="F14" s="1001"/>
      <c r="G14" s="1001"/>
      <c r="H14" s="1001"/>
      <c r="I14" s="1001"/>
      <c r="J14" s="1001"/>
      <c r="K14" s="1001"/>
      <c r="L14" s="1001"/>
      <c r="M14" s="1001"/>
      <c r="N14" s="1001">
        <f t="shared" si="0"/>
        <v>0</v>
      </c>
      <c r="O14" s="1002">
        <f t="shared" si="1"/>
        <v>0</v>
      </c>
      <c r="P14" s="872"/>
      <c r="Q14" s="1003"/>
      <c r="R14" s="1003">
        <f t="shared" si="2"/>
        <v>0</v>
      </c>
    </row>
    <row r="15" spans="1:18" x14ac:dyDescent="0.25">
      <c r="A15" s="999" t="s">
        <v>3992</v>
      </c>
      <c r="B15" s="1000"/>
      <c r="C15" s="1001"/>
      <c r="D15" s="1001"/>
      <c r="E15" s="1001"/>
      <c r="F15" s="1001"/>
      <c r="G15" s="1001"/>
      <c r="H15" s="1001"/>
      <c r="I15" s="1001"/>
      <c r="J15" s="1001"/>
      <c r="K15" s="1001"/>
      <c r="L15" s="1001"/>
      <c r="M15" s="1001"/>
      <c r="N15" s="1001">
        <f t="shared" si="0"/>
        <v>0</v>
      </c>
      <c r="O15" s="1002">
        <f t="shared" si="1"/>
        <v>0</v>
      </c>
      <c r="P15" s="872"/>
      <c r="Q15" s="1003"/>
      <c r="R15" s="1003">
        <f t="shared" si="2"/>
        <v>0</v>
      </c>
    </row>
    <row r="16" spans="1:18" x14ac:dyDescent="0.25">
      <c r="A16" s="999" t="s">
        <v>3993</v>
      </c>
      <c r="B16" s="1000"/>
      <c r="C16" s="1001"/>
      <c r="D16" s="1001"/>
      <c r="E16" s="1001"/>
      <c r="F16" s="1001"/>
      <c r="G16" s="1001"/>
      <c r="H16" s="1001"/>
      <c r="I16" s="1001"/>
      <c r="J16" s="1001"/>
      <c r="K16" s="1001"/>
      <c r="L16" s="1001"/>
      <c r="M16" s="1001"/>
      <c r="N16" s="1001">
        <f t="shared" si="0"/>
        <v>0</v>
      </c>
      <c r="O16" s="1002">
        <f t="shared" si="1"/>
        <v>0</v>
      </c>
      <c r="P16" s="872"/>
      <c r="Q16" s="1003"/>
      <c r="R16" s="1003">
        <f t="shared" si="2"/>
        <v>0</v>
      </c>
    </row>
    <row r="17" spans="1:18" x14ac:dyDescent="0.25">
      <c r="A17" s="999" t="s">
        <v>3994</v>
      </c>
      <c r="B17" s="1000"/>
      <c r="C17" s="1001"/>
      <c r="D17" s="1001"/>
      <c r="E17" s="1001"/>
      <c r="F17" s="1001"/>
      <c r="G17" s="1001"/>
      <c r="H17" s="1001"/>
      <c r="I17" s="1001"/>
      <c r="J17" s="1001"/>
      <c r="K17" s="1001"/>
      <c r="L17" s="1001"/>
      <c r="M17" s="1001"/>
      <c r="N17" s="1001">
        <f t="shared" si="0"/>
        <v>0</v>
      </c>
      <c r="O17" s="1002">
        <f t="shared" si="1"/>
        <v>0</v>
      </c>
      <c r="P17" s="872"/>
      <c r="Q17" s="1003"/>
      <c r="R17" s="1003">
        <f t="shared" si="2"/>
        <v>0</v>
      </c>
    </row>
    <row r="18" spans="1:18" x14ac:dyDescent="0.25">
      <c r="A18" s="999" t="s">
        <v>3995</v>
      </c>
      <c r="B18" s="1000"/>
      <c r="C18" s="1001"/>
      <c r="D18" s="1001"/>
      <c r="E18" s="1001"/>
      <c r="F18" s="1001"/>
      <c r="G18" s="1001"/>
      <c r="H18" s="1001"/>
      <c r="I18" s="1001"/>
      <c r="J18" s="1001"/>
      <c r="K18" s="1001"/>
      <c r="L18" s="1001"/>
      <c r="M18" s="1001"/>
      <c r="N18" s="1001">
        <f t="shared" si="0"/>
        <v>0</v>
      </c>
      <c r="O18" s="1002">
        <f t="shared" si="1"/>
        <v>0</v>
      </c>
      <c r="P18" s="872"/>
      <c r="Q18" s="1003"/>
      <c r="R18" s="1003">
        <f t="shared" si="2"/>
        <v>0</v>
      </c>
    </row>
    <row r="19" spans="1:18" x14ac:dyDescent="0.25">
      <c r="A19" s="999" t="s">
        <v>3996</v>
      </c>
      <c r="B19" s="1000"/>
      <c r="C19" s="1001"/>
      <c r="D19" s="1001"/>
      <c r="E19" s="1001"/>
      <c r="F19" s="1001"/>
      <c r="G19" s="1001"/>
      <c r="H19" s="1001"/>
      <c r="I19" s="1001"/>
      <c r="J19" s="1001"/>
      <c r="K19" s="1001"/>
      <c r="L19" s="1001"/>
      <c r="M19" s="1001"/>
      <c r="N19" s="1001">
        <f t="shared" si="0"/>
        <v>0</v>
      </c>
      <c r="O19" s="1002">
        <f t="shared" si="1"/>
        <v>0</v>
      </c>
      <c r="P19" s="872"/>
      <c r="Q19" s="1003"/>
      <c r="R19" s="1003">
        <f t="shared" si="2"/>
        <v>0</v>
      </c>
    </row>
    <row r="20" spans="1:18" x14ac:dyDescent="0.25">
      <c r="A20" s="999" t="s">
        <v>3997</v>
      </c>
      <c r="B20" s="1000"/>
      <c r="C20" s="1001"/>
      <c r="D20" s="1001"/>
      <c r="E20" s="1001"/>
      <c r="F20" s="1001"/>
      <c r="G20" s="1001"/>
      <c r="H20" s="1001"/>
      <c r="I20" s="1001"/>
      <c r="J20" s="1001"/>
      <c r="K20" s="1001"/>
      <c r="L20" s="1001"/>
      <c r="M20" s="1001"/>
      <c r="N20" s="1001">
        <f t="shared" si="0"/>
        <v>0</v>
      </c>
      <c r="O20" s="1002">
        <f t="shared" si="1"/>
        <v>0</v>
      </c>
      <c r="P20" s="872"/>
      <c r="Q20" s="1003"/>
      <c r="R20" s="1003">
        <f t="shared" si="2"/>
        <v>0</v>
      </c>
    </row>
    <row r="21" spans="1:18" x14ac:dyDescent="0.25">
      <c r="A21" s="999" t="s">
        <v>3998</v>
      </c>
      <c r="B21" s="1000"/>
      <c r="C21" s="1001"/>
      <c r="D21" s="1001"/>
      <c r="E21" s="1001"/>
      <c r="F21" s="1001"/>
      <c r="G21" s="1001"/>
      <c r="H21" s="1001"/>
      <c r="I21" s="1001"/>
      <c r="J21" s="1001"/>
      <c r="K21" s="1001"/>
      <c r="L21" s="1001"/>
      <c r="M21" s="1001"/>
      <c r="N21" s="1001">
        <f t="shared" si="0"/>
        <v>0</v>
      </c>
      <c r="O21" s="1002">
        <f t="shared" si="1"/>
        <v>0</v>
      </c>
      <c r="P21" s="872"/>
      <c r="Q21" s="1003"/>
      <c r="R21" s="1003">
        <f t="shared" si="2"/>
        <v>0</v>
      </c>
    </row>
    <row r="22" spans="1:18" x14ac:dyDescent="0.25">
      <c r="A22" s="999" t="s">
        <v>3999</v>
      </c>
      <c r="B22" s="1000"/>
      <c r="C22" s="1001"/>
      <c r="D22" s="1001"/>
      <c r="E22" s="1001"/>
      <c r="F22" s="1001"/>
      <c r="G22" s="1001"/>
      <c r="H22" s="1001"/>
      <c r="I22" s="1001"/>
      <c r="J22" s="1001">
        <v>1</v>
      </c>
      <c r="K22" s="1001">
        <v>1</v>
      </c>
      <c r="L22" s="1001"/>
      <c r="M22" s="1001"/>
      <c r="N22" s="1001">
        <f t="shared" si="0"/>
        <v>1</v>
      </c>
      <c r="O22" s="1002">
        <f t="shared" si="1"/>
        <v>1</v>
      </c>
      <c r="P22" s="872"/>
      <c r="Q22" s="1003"/>
      <c r="R22" s="1003">
        <f t="shared" si="2"/>
        <v>1</v>
      </c>
    </row>
    <row r="23" spans="1:18" s="1054" customFormat="1" ht="13.8" thickBot="1" x14ac:dyDescent="0.3">
      <c r="A23" s="1032" t="s">
        <v>15</v>
      </c>
      <c r="B23" s="1028">
        <f t="shared" ref="B23:R23" si="3">SUM(B9:B22)</f>
        <v>1</v>
      </c>
      <c r="C23" s="1028">
        <f t="shared" si="3"/>
        <v>1</v>
      </c>
      <c r="D23" s="1028">
        <f t="shared" si="3"/>
        <v>0</v>
      </c>
      <c r="E23" s="1028">
        <f t="shared" si="3"/>
        <v>0</v>
      </c>
      <c r="F23" s="1028">
        <f t="shared" si="3"/>
        <v>0</v>
      </c>
      <c r="G23" s="1028">
        <f t="shared" si="3"/>
        <v>0</v>
      </c>
      <c r="H23" s="1028">
        <f t="shared" si="3"/>
        <v>0</v>
      </c>
      <c r="I23" s="1028">
        <f t="shared" si="3"/>
        <v>0</v>
      </c>
      <c r="J23" s="1028">
        <f t="shared" si="3"/>
        <v>1</v>
      </c>
      <c r="K23" s="1028">
        <f t="shared" si="3"/>
        <v>1</v>
      </c>
      <c r="L23" s="1028">
        <f t="shared" si="3"/>
        <v>0</v>
      </c>
      <c r="M23" s="1028">
        <f t="shared" si="3"/>
        <v>0</v>
      </c>
      <c r="N23" s="1028">
        <f t="shared" si="3"/>
        <v>2</v>
      </c>
      <c r="O23" s="1029">
        <f t="shared" si="3"/>
        <v>2</v>
      </c>
      <c r="P23" s="1030">
        <f t="shared" si="3"/>
        <v>0</v>
      </c>
      <c r="Q23" s="1031">
        <f t="shared" si="3"/>
        <v>0</v>
      </c>
      <c r="R23" s="1031">
        <f t="shared" si="3"/>
        <v>2</v>
      </c>
    </row>
    <row r="24" spans="1:18" x14ac:dyDescent="0.25">
      <c r="A24" s="1006" t="s">
        <v>3165</v>
      </c>
      <c r="B24" s="994"/>
      <c r="C24" s="995"/>
      <c r="D24" s="995"/>
      <c r="E24" s="995"/>
      <c r="F24" s="995"/>
      <c r="G24" s="995"/>
      <c r="H24" s="995"/>
      <c r="I24" s="995"/>
      <c r="J24" s="995"/>
      <c r="K24" s="995"/>
      <c r="L24" s="995"/>
      <c r="M24" s="995"/>
      <c r="N24" s="995"/>
      <c r="O24" s="1035"/>
      <c r="P24" s="994"/>
      <c r="Q24" s="1036"/>
      <c r="R24" s="1037"/>
    </row>
    <row r="25" spans="1:18" x14ac:dyDescent="0.25">
      <c r="A25" s="1007" t="s">
        <v>3166</v>
      </c>
      <c r="B25" s="1008">
        <f t="shared" ref="B25:R25" si="4">SUM(B26:B32)</f>
        <v>0</v>
      </c>
      <c r="C25" s="1008">
        <f t="shared" si="4"/>
        <v>0</v>
      </c>
      <c r="D25" s="1008">
        <f t="shared" si="4"/>
        <v>0</v>
      </c>
      <c r="E25" s="1008">
        <f t="shared" si="4"/>
        <v>0</v>
      </c>
      <c r="F25" s="1008">
        <f t="shared" si="4"/>
        <v>0</v>
      </c>
      <c r="G25" s="1008">
        <f t="shared" si="4"/>
        <v>0</v>
      </c>
      <c r="H25" s="1008">
        <f t="shared" si="4"/>
        <v>0</v>
      </c>
      <c r="I25" s="1008">
        <f t="shared" si="4"/>
        <v>0</v>
      </c>
      <c r="J25" s="1008">
        <f t="shared" si="4"/>
        <v>0</v>
      </c>
      <c r="K25" s="1008">
        <f t="shared" si="4"/>
        <v>0</v>
      </c>
      <c r="L25" s="1008">
        <f t="shared" si="4"/>
        <v>0</v>
      </c>
      <c r="M25" s="1008">
        <f t="shared" si="4"/>
        <v>0</v>
      </c>
      <c r="N25" s="1008">
        <f t="shared" si="4"/>
        <v>0</v>
      </c>
      <c r="O25" s="1008">
        <f t="shared" si="4"/>
        <v>0</v>
      </c>
      <c r="P25" s="1008">
        <f t="shared" si="4"/>
        <v>0</v>
      </c>
      <c r="Q25" s="1008">
        <f t="shared" si="4"/>
        <v>0</v>
      </c>
      <c r="R25" s="1008">
        <f t="shared" si="4"/>
        <v>0</v>
      </c>
    </row>
    <row r="26" spans="1:18" x14ac:dyDescent="0.25">
      <c r="A26" s="1012" t="s">
        <v>88</v>
      </c>
      <c r="B26" s="1013"/>
      <c r="C26" s="1014"/>
      <c r="D26" s="1014"/>
      <c r="E26" s="1014"/>
      <c r="F26" s="1014"/>
      <c r="G26" s="1014"/>
      <c r="H26" s="1014"/>
      <c r="I26" s="1014"/>
      <c r="J26" s="1014"/>
      <c r="K26" s="1014"/>
      <c r="L26" s="1014"/>
      <c r="M26" s="1014"/>
      <c r="N26" s="1014"/>
      <c r="O26" s="1038"/>
      <c r="P26" s="1013"/>
      <c r="Q26" s="1039"/>
      <c r="R26" s="1040"/>
    </row>
    <row r="27" spans="1:18" x14ac:dyDescent="0.25">
      <c r="A27" s="1012" t="s">
        <v>4000</v>
      </c>
      <c r="B27" s="1013"/>
      <c r="C27" s="1014"/>
      <c r="D27" s="1014"/>
      <c r="E27" s="1014"/>
      <c r="F27" s="1014"/>
      <c r="G27" s="1014"/>
      <c r="H27" s="1014"/>
      <c r="I27" s="1014"/>
      <c r="J27" s="1014"/>
      <c r="K27" s="1014"/>
      <c r="L27" s="1014"/>
      <c r="M27" s="1014"/>
      <c r="N27" s="1014"/>
      <c r="O27" s="1038"/>
      <c r="P27" s="1013"/>
      <c r="Q27" s="1039"/>
      <c r="R27" s="1040"/>
    </row>
    <row r="28" spans="1:18" x14ac:dyDescent="0.25">
      <c r="A28" s="1012" t="s">
        <v>87</v>
      </c>
      <c r="B28" s="1013"/>
      <c r="C28" s="1014"/>
      <c r="D28" s="1014"/>
      <c r="E28" s="1014"/>
      <c r="F28" s="1014"/>
      <c r="G28" s="1014"/>
      <c r="H28" s="1014"/>
      <c r="I28" s="1014"/>
      <c r="J28" s="1014"/>
      <c r="K28" s="1014"/>
      <c r="L28" s="1014"/>
      <c r="M28" s="1014"/>
      <c r="N28" s="1014"/>
      <c r="O28" s="1038"/>
      <c r="P28" s="1013"/>
      <c r="Q28" s="1039"/>
      <c r="R28" s="1040"/>
    </row>
    <row r="29" spans="1:18" x14ac:dyDescent="0.25">
      <c r="A29" s="1012" t="s">
        <v>4001</v>
      </c>
      <c r="B29" s="1013"/>
      <c r="C29" s="1014"/>
      <c r="D29" s="1014"/>
      <c r="E29" s="1014"/>
      <c r="F29" s="1014"/>
      <c r="G29" s="1014"/>
      <c r="H29" s="1014"/>
      <c r="I29" s="1014"/>
      <c r="J29" s="1014"/>
      <c r="K29" s="1014"/>
      <c r="L29" s="1014"/>
      <c r="M29" s="1014"/>
      <c r="N29" s="1014"/>
      <c r="O29" s="1038"/>
      <c r="P29" s="1013"/>
      <c r="Q29" s="1039"/>
      <c r="R29" s="1040"/>
    </row>
    <row r="30" spans="1:18" x14ac:dyDescent="0.25">
      <c r="A30" s="1012" t="s">
        <v>4006</v>
      </c>
      <c r="B30" s="1013"/>
      <c r="C30" s="1014"/>
      <c r="D30" s="1014"/>
      <c r="E30" s="1014"/>
      <c r="F30" s="1014"/>
      <c r="G30" s="1014"/>
      <c r="H30" s="1014"/>
      <c r="I30" s="1014"/>
      <c r="J30" s="1014"/>
      <c r="K30" s="1014"/>
      <c r="L30" s="1014"/>
      <c r="M30" s="1014"/>
      <c r="N30" s="1014"/>
      <c r="O30" s="1038"/>
      <c r="P30" s="1013"/>
      <c r="Q30" s="1039"/>
      <c r="R30" s="1040"/>
    </row>
    <row r="31" spans="1:18" x14ac:dyDescent="0.25">
      <c r="A31" s="1012" t="s">
        <v>4002</v>
      </c>
      <c r="B31" s="1013"/>
      <c r="C31" s="1014"/>
      <c r="D31" s="1014"/>
      <c r="E31" s="1014"/>
      <c r="F31" s="1014"/>
      <c r="G31" s="1014"/>
      <c r="H31" s="1014"/>
      <c r="I31" s="1014"/>
      <c r="J31" s="1014"/>
      <c r="K31" s="1014"/>
      <c r="L31" s="1014"/>
      <c r="M31" s="1014"/>
      <c r="N31" s="1014"/>
      <c r="O31" s="1038"/>
      <c r="P31" s="1013"/>
      <c r="Q31" s="1039"/>
      <c r="R31" s="1040"/>
    </row>
    <row r="32" spans="1:18" x14ac:dyDescent="0.25">
      <c r="A32" s="1012" t="s">
        <v>4003</v>
      </c>
      <c r="B32" s="1013"/>
      <c r="C32" s="1014"/>
      <c r="D32" s="1014"/>
      <c r="E32" s="1014"/>
      <c r="F32" s="1014"/>
      <c r="G32" s="1014"/>
      <c r="H32" s="1014"/>
      <c r="I32" s="1014"/>
      <c r="J32" s="1014"/>
      <c r="K32" s="1014"/>
      <c r="L32" s="1014"/>
      <c r="M32" s="1014"/>
      <c r="N32" s="1014"/>
      <c r="O32" s="1038"/>
      <c r="P32" s="1013"/>
      <c r="Q32" s="1039"/>
      <c r="R32" s="1040"/>
    </row>
    <row r="33" spans="1:18" ht="13.8" thickBot="1" x14ac:dyDescent="0.3">
      <c r="A33" s="1041" t="s">
        <v>3167</v>
      </c>
      <c r="B33" s="1013"/>
      <c r="C33" s="1014"/>
      <c r="D33" s="1014"/>
      <c r="E33" s="1014"/>
      <c r="F33" s="1014"/>
      <c r="G33" s="1014"/>
      <c r="H33" s="1014"/>
      <c r="I33" s="1014"/>
      <c r="J33" s="1014"/>
      <c r="K33" s="1014"/>
      <c r="L33" s="1014"/>
      <c r="M33" s="1014"/>
      <c r="N33" s="1014"/>
      <c r="O33" s="1038"/>
      <c r="P33" s="1013"/>
      <c r="Q33" s="1039"/>
      <c r="R33" s="1040"/>
    </row>
    <row r="34" spans="1:18" ht="13.8" thickBot="1" x14ac:dyDescent="0.3">
      <c r="A34" s="111" t="s">
        <v>2602</v>
      </c>
      <c r="B34" s="1025"/>
      <c r="C34" s="1042"/>
      <c r="D34" s="1042"/>
      <c r="E34" s="1042"/>
      <c r="F34" s="1042"/>
      <c r="G34" s="1042"/>
      <c r="H34" s="1042"/>
      <c r="I34" s="1042"/>
      <c r="J34" s="1042"/>
      <c r="K34" s="1042"/>
      <c r="L34" s="1042"/>
      <c r="M34" s="1042"/>
      <c r="N34" s="1042"/>
      <c r="O34" s="1043"/>
      <c r="P34" s="1025"/>
      <c r="Q34" s="1044"/>
      <c r="R34" s="1045"/>
    </row>
    <row r="36" spans="1:18" ht="13.8" thickBot="1" x14ac:dyDescent="0.3"/>
    <row r="37" spans="1:18" x14ac:dyDescent="0.25">
      <c r="A37" s="1126" t="s">
        <v>3210</v>
      </c>
      <c r="B37" s="1127"/>
      <c r="C37" s="1127"/>
      <c r="D37" s="1127"/>
      <c r="E37" s="1127"/>
      <c r="F37" s="1127"/>
      <c r="G37" s="1127"/>
      <c r="H37" s="1127"/>
      <c r="I37" s="1127"/>
      <c r="J37" s="1127"/>
      <c r="K37" s="1127"/>
      <c r="L37" s="1127"/>
      <c r="M37" s="1127"/>
      <c r="N37" s="1127"/>
      <c r="O37" s="1127"/>
      <c r="P37" s="1127"/>
      <c r="Q37" s="1127"/>
      <c r="R37" s="1128"/>
    </row>
    <row r="38" spans="1:18" ht="13.8" thickBot="1" x14ac:dyDescent="0.3">
      <c r="A38" s="1129"/>
      <c r="B38" s="1130"/>
      <c r="C38" s="1130"/>
      <c r="D38" s="1130"/>
      <c r="E38" s="1130"/>
      <c r="F38" s="1130"/>
      <c r="G38" s="1130"/>
      <c r="H38" s="1130"/>
      <c r="I38" s="1130"/>
      <c r="J38" s="1130"/>
      <c r="K38" s="1130"/>
      <c r="L38" s="1130"/>
      <c r="M38" s="1130"/>
      <c r="N38" s="1130"/>
      <c r="O38" s="1130"/>
      <c r="P38" s="1130"/>
      <c r="Q38" s="1130"/>
      <c r="R38" s="1131"/>
    </row>
    <row r="39" spans="1:18" ht="26.25" customHeight="1" x14ac:dyDescent="0.25">
      <c r="A39" s="1132" t="s">
        <v>3144</v>
      </c>
      <c r="B39" s="1134" t="s">
        <v>3145</v>
      </c>
      <c r="C39" s="1135"/>
      <c r="D39" s="1135" t="s">
        <v>3146</v>
      </c>
      <c r="E39" s="1135"/>
      <c r="F39" s="1135" t="s">
        <v>3147</v>
      </c>
      <c r="G39" s="1135"/>
      <c r="H39" s="1135" t="s">
        <v>3148</v>
      </c>
      <c r="I39" s="1135"/>
      <c r="J39" s="1136" t="s">
        <v>3149</v>
      </c>
      <c r="K39" s="1134"/>
      <c r="L39" s="1135" t="s">
        <v>3150</v>
      </c>
      <c r="M39" s="1135"/>
      <c r="N39" s="1137" t="s">
        <v>2602</v>
      </c>
      <c r="O39" s="1143"/>
      <c r="P39" s="1141" t="s">
        <v>3151</v>
      </c>
      <c r="Q39" s="984" t="s">
        <v>3152</v>
      </c>
      <c r="R39" s="1132" t="s">
        <v>3153</v>
      </c>
    </row>
    <row r="40" spans="1:18" x14ac:dyDescent="0.25">
      <c r="A40" s="1133"/>
      <c r="B40" s="1145" t="s">
        <v>3154</v>
      </c>
      <c r="C40" s="1125"/>
      <c r="D40" s="1125" t="s">
        <v>3155</v>
      </c>
      <c r="E40" s="1125"/>
      <c r="F40" s="1125" t="s">
        <v>3156</v>
      </c>
      <c r="G40" s="1125"/>
      <c r="H40" s="1125" t="s">
        <v>3157</v>
      </c>
      <c r="I40" s="1125"/>
      <c r="J40" s="1125" t="s">
        <v>3158</v>
      </c>
      <c r="K40" s="1125"/>
      <c r="L40" s="1125" t="s">
        <v>3159</v>
      </c>
      <c r="M40" s="1125"/>
      <c r="N40" s="1139"/>
      <c r="O40" s="1144"/>
      <c r="P40" s="1142"/>
      <c r="Q40" s="985" t="s">
        <v>3160</v>
      </c>
      <c r="R40" s="1133"/>
    </row>
    <row r="41" spans="1:18" ht="13.8" thickBot="1" x14ac:dyDescent="0.3">
      <c r="A41" s="986" t="s">
        <v>3161</v>
      </c>
      <c r="B41" s="987" t="s">
        <v>3162</v>
      </c>
      <c r="C41" s="988" t="s">
        <v>3163</v>
      </c>
      <c r="D41" s="988" t="s">
        <v>3162</v>
      </c>
      <c r="E41" s="988" t="s">
        <v>3163</v>
      </c>
      <c r="F41" s="988" t="s">
        <v>3162</v>
      </c>
      <c r="G41" s="988" t="s">
        <v>3163</v>
      </c>
      <c r="H41" s="988" t="s">
        <v>3162</v>
      </c>
      <c r="I41" s="988" t="s">
        <v>3163</v>
      </c>
      <c r="J41" s="988" t="s">
        <v>3162</v>
      </c>
      <c r="K41" s="988" t="s">
        <v>3163</v>
      </c>
      <c r="L41" s="988" t="s">
        <v>3162</v>
      </c>
      <c r="M41" s="988" t="s">
        <v>3163</v>
      </c>
      <c r="N41" s="988" t="s">
        <v>3162</v>
      </c>
      <c r="O41" s="989" t="s">
        <v>3163</v>
      </c>
      <c r="P41" s="990" t="s">
        <v>3162</v>
      </c>
      <c r="Q41" s="991" t="s">
        <v>3162</v>
      </c>
      <c r="R41" s="992" t="s">
        <v>3162</v>
      </c>
    </row>
    <row r="42" spans="1:18" x14ac:dyDescent="0.25">
      <c r="A42" s="1034" t="s">
        <v>3164</v>
      </c>
      <c r="B42" s="1000"/>
      <c r="C42" s="1001"/>
      <c r="D42" s="1001"/>
      <c r="E42" s="1001"/>
      <c r="F42" s="1001"/>
      <c r="G42" s="1001"/>
      <c r="H42" s="1001"/>
      <c r="I42" s="1001"/>
      <c r="J42" s="1001"/>
      <c r="K42" s="1001"/>
      <c r="L42" s="1001"/>
      <c r="M42" s="1001"/>
      <c r="N42" s="1001"/>
      <c r="O42" s="1046"/>
      <c r="P42" s="1000"/>
      <c r="Q42" s="1047"/>
      <c r="R42" s="1048"/>
    </row>
    <row r="43" spans="1:18" x14ac:dyDescent="0.25">
      <c r="A43" s="999" t="s">
        <v>3986</v>
      </c>
      <c r="B43" s="1000"/>
      <c r="C43" s="1001"/>
      <c r="D43" s="1001"/>
      <c r="E43" s="1001"/>
      <c r="F43" s="1001"/>
      <c r="G43" s="1001"/>
      <c r="H43" s="1001"/>
      <c r="I43" s="1001"/>
      <c r="J43" s="1001"/>
      <c r="K43" s="1001"/>
      <c r="L43" s="1001"/>
      <c r="M43" s="1001"/>
      <c r="N43" s="1001">
        <f>B43+D43+F43+H43+J43+L43</f>
        <v>0</v>
      </c>
      <c r="O43" s="1046">
        <f>C43+E43+G43+K43+M43</f>
        <v>0</v>
      </c>
      <c r="P43" s="1000"/>
      <c r="Q43" s="1047"/>
      <c r="R43" s="1048">
        <f>N43+P43+Q43</f>
        <v>0</v>
      </c>
    </row>
    <row r="44" spans="1:18" x14ac:dyDescent="0.25">
      <c r="A44" s="999" t="s">
        <v>3987</v>
      </c>
      <c r="B44" s="1000"/>
      <c r="C44" s="1001"/>
      <c r="D44" s="1001"/>
      <c r="E44" s="1001"/>
      <c r="F44" s="1001"/>
      <c r="G44" s="1001"/>
      <c r="H44" s="1001"/>
      <c r="I44" s="1001"/>
      <c r="J44" s="1001"/>
      <c r="K44" s="1001"/>
      <c r="L44" s="1001"/>
      <c r="M44" s="1001"/>
      <c r="N44" s="1001">
        <f t="shared" ref="N44:N56" si="5">B44+D44+F44+H44+J44+L44</f>
        <v>0</v>
      </c>
      <c r="O44" s="1046">
        <f t="shared" ref="O44:O56" si="6">C44+E44+G44+K44+M44</f>
        <v>0</v>
      </c>
      <c r="P44" s="1000"/>
      <c r="Q44" s="1047"/>
      <c r="R44" s="1048">
        <f t="shared" ref="R44:R56" si="7">N44+P44+Q44</f>
        <v>0</v>
      </c>
    </row>
    <row r="45" spans="1:18" x14ac:dyDescent="0.25">
      <c r="A45" s="999" t="s">
        <v>3988</v>
      </c>
      <c r="B45" s="1000"/>
      <c r="C45" s="1001"/>
      <c r="D45" s="1001"/>
      <c r="E45" s="1001"/>
      <c r="F45" s="1001"/>
      <c r="G45" s="1001"/>
      <c r="H45" s="1001"/>
      <c r="I45" s="1001"/>
      <c r="J45" s="1001"/>
      <c r="K45" s="1001"/>
      <c r="L45" s="1001"/>
      <c r="M45" s="1001"/>
      <c r="N45" s="1001">
        <f t="shared" si="5"/>
        <v>0</v>
      </c>
      <c r="O45" s="1046">
        <f t="shared" si="6"/>
        <v>0</v>
      </c>
      <c r="P45" s="1000"/>
      <c r="Q45" s="1047"/>
      <c r="R45" s="1048">
        <f t="shared" si="7"/>
        <v>0</v>
      </c>
    </row>
    <row r="46" spans="1:18" x14ac:dyDescent="0.25">
      <c r="A46" s="999" t="s">
        <v>3989</v>
      </c>
      <c r="B46" s="1000"/>
      <c r="C46" s="1001"/>
      <c r="D46" s="1001"/>
      <c r="E46" s="1001"/>
      <c r="F46" s="1001"/>
      <c r="G46" s="1001"/>
      <c r="H46" s="1001"/>
      <c r="I46" s="1001"/>
      <c r="J46" s="1001"/>
      <c r="K46" s="1001"/>
      <c r="L46" s="1001"/>
      <c r="M46" s="1001"/>
      <c r="N46" s="1001">
        <f t="shared" si="5"/>
        <v>0</v>
      </c>
      <c r="O46" s="1046">
        <f t="shared" si="6"/>
        <v>0</v>
      </c>
      <c r="P46" s="1000"/>
      <c r="Q46" s="1047"/>
      <c r="R46" s="1048">
        <f t="shared" si="7"/>
        <v>0</v>
      </c>
    </row>
    <row r="47" spans="1:18" x14ac:dyDescent="0.25">
      <c r="A47" s="999" t="s">
        <v>3990</v>
      </c>
      <c r="B47" s="1000"/>
      <c r="C47" s="1001"/>
      <c r="D47" s="1001"/>
      <c r="E47" s="1001"/>
      <c r="F47" s="1001"/>
      <c r="G47" s="1001"/>
      <c r="H47" s="1001"/>
      <c r="I47" s="1001"/>
      <c r="J47" s="1001"/>
      <c r="K47" s="1001"/>
      <c r="L47" s="1001"/>
      <c r="M47" s="1001"/>
      <c r="N47" s="1001">
        <f t="shared" si="5"/>
        <v>0</v>
      </c>
      <c r="O47" s="1046">
        <f t="shared" si="6"/>
        <v>0</v>
      </c>
      <c r="P47" s="1000"/>
      <c r="Q47" s="1047"/>
      <c r="R47" s="1048">
        <f t="shared" si="7"/>
        <v>0</v>
      </c>
    </row>
    <row r="48" spans="1:18" x14ac:dyDescent="0.25">
      <c r="A48" s="999" t="s">
        <v>3991</v>
      </c>
      <c r="B48" s="1000"/>
      <c r="C48" s="1001"/>
      <c r="D48" s="1001"/>
      <c r="E48" s="1001"/>
      <c r="F48" s="1001"/>
      <c r="G48" s="1001"/>
      <c r="H48" s="1001"/>
      <c r="I48" s="1001"/>
      <c r="J48" s="1001"/>
      <c r="K48" s="1001"/>
      <c r="L48" s="1001"/>
      <c r="M48" s="1001"/>
      <c r="N48" s="1001">
        <f t="shared" si="5"/>
        <v>0</v>
      </c>
      <c r="O48" s="1046">
        <f t="shared" si="6"/>
        <v>0</v>
      </c>
      <c r="P48" s="1000"/>
      <c r="Q48" s="1047"/>
      <c r="R48" s="1048">
        <f t="shared" si="7"/>
        <v>0</v>
      </c>
    </row>
    <row r="49" spans="1:18" x14ac:dyDescent="0.25">
      <c r="A49" s="999" t="s">
        <v>3992</v>
      </c>
      <c r="B49" s="1000"/>
      <c r="C49" s="1001"/>
      <c r="D49" s="1001"/>
      <c r="E49" s="1001"/>
      <c r="F49" s="1001"/>
      <c r="G49" s="1001"/>
      <c r="H49" s="1001"/>
      <c r="I49" s="1001"/>
      <c r="J49" s="1001"/>
      <c r="K49" s="1001"/>
      <c r="L49" s="1001"/>
      <c r="M49" s="1001"/>
      <c r="N49" s="1001">
        <f t="shared" si="5"/>
        <v>0</v>
      </c>
      <c r="O49" s="1046">
        <f t="shared" si="6"/>
        <v>0</v>
      </c>
      <c r="P49" s="1000"/>
      <c r="Q49" s="1047"/>
      <c r="R49" s="1048">
        <f t="shared" si="7"/>
        <v>0</v>
      </c>
    </row>
    <row r="50" spans="1:18" x14ac:dyDescent="0.25">
      <c r="A50" s="999" t="s">
        <v>3993</v>
      </c>
      <c r="B50" s="1000"/>
      <c r="C50" s="1001"/>
      <c r="D50" s="1001"/>
      <c r="E50" s="1001"/>
      <c r="F50" s="1001"/>
      <c r="G50" s="1001"/>
      <c r="H50" s="1001"/>
      <c r="I50" s="1001"/>
      <c r="J50" s="1001"/>
      <c r="K50" s="1001"/>
      <c r="L50" s="1001"/>
      <c r="M50" s="1001"/>
      <c r="N50" s="1001">
        <f t="shared" si="5"/>
        <v>0</v>
      </c>
      <c r="O50" s="1046">
        <f t="shared" si="6"/>
        <v>0</v>
      </c>
      <c r="P50" s="1000"/>
      <c r="Q50" s="1047"/>
      <c r="R50" s="1048">
        <f t="shared" si="7"/>
        <v>0</v>
      </c>
    </row>
    <row r="51" spans="1:18" x14ac:dyDescent="0.25">
      <c r="A51" s="999" t="s">
        <v>3994</v>
      </c>
      <c r="B51" s="1000"/>
      <c r="C51" s="1001"/>
      <c r="D51" s="1001"/>
      <c r="E51" s="1001"/>
      <c r="F51" s="1001"/>
      <c r="G51" s="1001"/>
      <c r="H51" s="1001"/>
      <c r="I51" s="1001"/>
      <c r="J51" s="1001"/>
      <c r="K51" s="1001"/>
      <c r="L51" s="1001"/>
      <c r="M51" s="1001"/>
      <c r="N51" s="1001">
        <f t="shared" si="5"/>
        <v>0</v>
      </c>
      <c r="O51" s="1046">
        <f t="shared" si="6"/>
        <v>0</v>
      </c>
      <c r="P51" s="1000"/>
      <c r="Q51" s="1047"/>
      <c r="R51" s="1048">
        <f t="shared" si="7"/>
        <v>0</v>
      </c>
    </row>
    <row r="52" spans="1:18" x14ac:dyDescent="0.25">
      <c r="A52" s="999" t="s">
        <v>3995</v>
      </c>
      <c r="B52" s="1000"/>
      <c r="C52" s="1001"/>
      <c r="D52" s="1001"/>
      <c r="E52" s="1001"/>
      <c r="F52" s="1001"/>
      <c r="G52" s="1001"/>
      <c r="H52" s="1001"/>
      <c r="I52" s="1001"/>
      <c r="J52" s="1001"/>
      <c r="K52" s="1001"/>
      <c r="L52" s="1001"/>
      <c r="M52" s="1001"/>
      <c r="N52" s="1001">
        <f t="shared" si="5"/>
        <v>0</v>
      </c>
      <c r="O52" s="1046">
        <f t="shared" si="6"/>
        <v>0</v>
      </c>
      <c r="P52" s="1000"/>
      <c r="Q52" s="1047"/>
      <c r="R52" s="1048">
        <f t="shared" si="7"/>
        <v>0</v>
      </c>
    </row>
    <row r="53" spans="1:18" x14ac:dyDescent="0.25">
      <c r="A53" s="999" t="s">
        <v>3996</v>
      </c>
      <c r="B53" s="1000"/>
      <c r="C53" s="1001"/>
      <c r="D53" s="1001"/>
      <c r="E53" s="1001"/>
      <c r="F53" s="1001"/>
      <c r="G53" s="1001"/>
      <c r="H53" s="1001"/>
      <c r="I53" s="1001"/>
      <c r="J53" s="1001"/>
      <c r="K53" s="1001"/>
      <c r="L53" s="1001"/>
      <c r="M53" s="1001"/>
      <c r="N53" s="1001">
        <f t="shared" si="5"/>
        <v>0</v>
      </c>
      <c r="O53" s="1046">
        <f t="shared" si="6"/>
        <v>0</v>
      </c>
      <c r="P53" s="1000"/>
      <c r="Q53" s="1047"/>
      <c r="R53" s="1048">
        <f t="shared" si="7"/>
        <v>0</v>
      </c>
    </row>
    <row r="54" spans="1:18" x14ac:dyDescent="0.25">
      <c r="A54" s="999" t="s">
        <v>3997</v>
      </c>
      <c r="B54" s="1000"/>
      <c r="C54" s="1001"/>
      <c r="D54" s="1001"/>
      <c r="E54" s="1001"/>
      <c r="F54" s="1001"/>
      <c r="G54" s="1001"/>
      <c r="H54" s="1001"/>
      <c r="I54" s="1001"/>
      <c r="J54" s="1001"/>
      <c r="K54" s="1001"/>
      <c r="L54" s="1001"/>
      <c r="M54" s="1001"/>
      <c r="N54" s="1001">
        <f t="shared" si="5"/>
        <v>0</v>
      </c>
      <c r="O54" s="1046">
        <f t="shared" si="6"/>
        <v>0</v>
      </c>
      <c r="P54" s="1000"/>
      <c r="Q54" s="1047"/>
      <c r="R54" s="1048">
        <f t="shared" si="7"/>
        <v>0</v>
      </c>
    </row>
    <row r="55" spans="1:18" x14ac:dyDescent="0.25">
      <c r="A55" s="999" t="s">
        <v>3998</v>
      </c>
      <c r="B55" s="1000"/>
      <c r="C55" s="1001"/>
      <c r="D55" s="1001"/>
      <c r="E55" s="1001"/>
      <c r="F55" s="1001"/>
      <c r="G55" s="1001"/>
      <c r="H55" s="1001"/>
      <c r="I55" s="1001"/>
      <c r="J55" s="1001"/>
      <c r="K55" s="1001"/>
      <c r="L55" s="1001"/>
      <c r="M55" s="1001"/>
      <c r="N55" s="1001">
        <f t="shared" si="5"/>
        <v>0</v>
      </c>
      <c r="O55" s="1046">
        <f t="shared" si="6"/>
        <v>0</v>
      </c>
      <c r="P55" s="1000"/>
      <c r="Q55" s="1047"/>
      <c r="R55" s="1048">
        <f t="shared" si="7"/>
        <v>0</v>
      </c>
    </row>
    <row r="56" spans="1:18" x14ac:dyDescent="0.25">
      <c r="A56" s="999" t="s">
        <v>3999</v>
      </c>
      <c r="B56" s="1000"/>
      <c r="C56" s="1001"/>
      <c r="D56" s="1001"/>
      <c r="E56" s="1001"/>
      <c r="F56" s="1001"/>
      <c r="G56" s="1001"/>
      <c r="H56" s="1001"/>
      <c r="I56" s="1001"/>
      <c r="J56" s="1001">
        <v>1</v>
      </c>
      <c r="K56" s="1001">
        <v>1</v>
      </c>
      <c r="L56" s="1001"/>
      <c r="M56" s="1001"/>
      <c r="N56" s="1001">
        <f t="shared" si="5"/>
        <v>1</v>
      </c>
      <c r="O56" s="1046">
        <f t="shared" si="6"/>
        <v>1</v>
      </c>
      <c r="P56" s="1000"/>
      <c r="Q56" s="1047"/>
      <c r="R56" s="1048">
        <f t="shared" si="7"/>
        <v>1</v>
      </c>
    </row>
    <row r="57" spans="1:18" ht="13.8" thickBot="1" x14ac:dyDescent="0.3">
      <c r="A57" s="1032" t="s">
        <v>15</v>
      </c>
      <c r="B57" s="1049">
        <f t="shared" ref="B57:R57" si="8">SUM(B43:B56)</f>
        <v>0</v>
      </c>
      <c r="C57" s="1049">
        <f t="shared" si="8"/>
        <v>0</v>
      </c>
      <c r="D57" s="1049">
        <f t="shared" si="8"/>
        <v>0</v>
      </c>
      <c r="E57" s="1049">
        <f t="shared" si="8"/>
        <v>0</v>
      </c>
      <c r="F57" s="1049">
        <f t="shared" si="8"/>
        <v>0</v>
      </c>
      <c r="G57" s="1049">
        <f t="shared" si="8"/>
        <v>0</v>
      </c>
      <c r="H57" s="1049">
        <f t="shared" si="8"/>
        <v>0</v>
      </c>
      <c r="I57" s="1049">
        <f t="shared" si="8"/>
        <v>0</v>
      </c>
      <c r="J57" s="1049">
        <f t="shared" si="8"/>
        <v>1</v>
      </c>
      <c r="K57" s="1049">
        <f t="shared" si="8"/>
        <v>1</v>
      </c>
      <c r="L57" s="1049">
        <f t="shared" si="8"/>
        <v>0</v>
      </c>
      <c r="M57" s="1049">
        <f t="shared" si="8"/>
        <v>0</v>
      </c>
      <c r="N57" s="1049">
        <f t="shared" si="8"/>
        <v>1</v>
      </c>
      <c r="O57" s="1049">
        <f t="shared" si="8"/>
        <v>1</v>
      </c>
      <c r="P57" s="1049">
        <f t="shared" si="8"/>
        <v>0</v>
      </c>
      <c r="Q57" s="1049">
        <f t="shared" si="8"/>
        <v>0</v>
      </c>
      <c r="R57" s="1049">
        <f t="shared" si="8"/>
        <v>1</v>
      </c>
    </row>
    <row r="58" spans="1:18" x14ac:dyDescent="0.25">
      <c r="A58" s="1050" t="s">
        <v>3165</v>
      </c>
      <c r="B58" s="1008"/>
      <c r="C58" s="1051"/>
      <c r="D58" s="1051"/>
      <c r="E58" s="1051"/>
      <c r="F58" s="1051"/>
      <c r="G58" s="1051"/>
      <c r="H58" s="1051"/>
      <c r="I58" s="1051"/>
      <c r="J58" s="1051"/>
      <c r="K58" s="1051"/>
      <c r="L58" s="1051"/>
      <c r="M58" s="1051"/>
      <c r="N58" s="1051"/>
      <c r="O58" s="1052"/>
      <c r="P58" s="1008"/>
      <c r="Q58" s="1009"/>
      <c r="R58" s="1053"/>
    </row>
    <row r="59" spans="1:18" x14ac:dyDescent="0.25">
      <c r="A59" s="1007" t="s">
        <v>3166</v>
      </c>
      <c r="B59" s="1008">
        <f t="shared" ref="B59:R59" si="9">SUM(B60:B66)</f>
        <v>0</v>
      </c>
      <c r="C59" s="1008">
        <f t="shared" si="9"/>
        <v>0</v>
      </c>
      <c r="D59" s="1008">
        <f t="shared" si="9"/>
        <v>0</v>
      </c>
      <c r="E59" s="1008">
        <f t="shared" si="9"/>
        <v>0</v>
      </c>
      <c r="F59" s="1008">
        <f t="shared" si="9"/>
        <v>0</v>
      </c>
      <c r="G59" s="1008">
        <f t="shared" si="9"/>
        <v>0</v>
      </c>
      <c r="H59" s="1008">
        <f t="shared" si="9"/>
        <v>0</v>
      </c>
      <c r="I59" s="1008">
        <f t="shared" si="9"/>
        <v>0</v>
      </c>
      <c r="J59" s="1008">
        <f t="shared" si="9"/>
        <v>0</v>
      </c>
      <c r="K59" s="1008">
        <f t="shared" si="9"/>
        <v>0</v>
      </c>
      <c r="L59" s="1008">
        <f t="shared" si="9"/>
        <v>0</v>
      </c>
      <c r="M59" s="1008">
        <f t="shared" si="9"/>
        <v>0</v>
      </c>
      <c r="N59" s="1008">
        <f t="shared" si="9"/>
        <v>0</v>
      </c>
      <c r="O59" s="1008">
        <f t="shared" si="9"/>
        <v>0</v>
      </c>
      <c r="P59" s="1008">
        <f t="shared" si="9"/>
        <v>0</v>
      </c>
      <c r="Q59" s="1008">
        <f t="shared" si="9"/>
        <v>0</v>
      </c>
      <c r="R59" s="1008">
        <f t="shared" si="9"/>
        <v>0</v>
      </c>
    </row>
    <row r="60" spans="1:18" x14ac:dyDescent="0.25">
      <c r="A60" s="1012" t="s">
        <v>88</v>
      </c>
      <c r="B60" s="1013"/>
      <c r="C60" s="1014"/>
      <c r="D60" s="1014"/>
      <c r="E60" s="1014"/>
      <c r="F60" s="1014"/>
      <c r="G60" s="1014"/>
      <c r="H60" s="1014"/>
      <c r="I60" s="1014"/>
      <c r="J60" s="1014"/>
      <c r="K60" s="1014"/>
      <c r="L60" s="1014"/>
      <c r="M60" s="1014"/>
      <c r="N60" s="1014"/>
      <c r="O60" s="1038"/>
      <c r="P60" s="1013"/>
      <c r="Q60" s="1039"/>
      <c r="R60" s="1040"/>
    </row>
    <row r="61" spans="1:18" x14ac:dyDescent="0.25">
      <c r="A61" s="1012" t="s">
        <v>4000</v>
      </c>
      <c r="B61" s="1013"/>
      <c r="C61" s="1014"/>
      <c r="D61" s="1014"/>
      <c r="E61" s="1014"/>
      <c r="F61" s="1014"/>
      <c r="G61" s="1014"/>
      <c r="H61" s="1014"/>
      <c r="I61" s="1014"/>
      <c r="J61" s="1014"/>
      <c r="K61" s="1014"/>
      <c r="L61" s="1014"/>
      <c r="M61" s="1014"/>
      <c r="N61" s="1014"/>
      <c r="O61" s="1038"/>
      <c r="P61" s="1013"/>
      <c r="Q61" s="1039"/>
      <c r="R61" s="1040"/>
    </row>
    <row r="62" spans="1:18" x14ac:dyDescent="0.25">
      <c r="A62" s="1012" t="s">
        <v>87</v>
      </c>
      <c r="B62" s="1013"/>
      <c r="C62" s="1014"/>
      <c r="D62" s="1014"/>
      <c r="E62" s="1014"/>
      <c r="F62" s="1014"/>
      <c r="G62" s="1014"/>
      <c r="H62" s="1014"/>
      <c r="I62" s="1014"/>
      <c r="J62" s="1014"/>
      <c r="K62" s="1014"/>
      <c r="L62" s="1014"/>
      <c r="M62" s="1014"/>
      <c r="N62" s="1014"/>
      <c r="O62" s="1038"/>
      <c r="P62" s="1013"/>
      <c r="Q62" s="1039"/>
      <c r="R62" s="1040"/>
    </row>
    <row r="63" spans="1:18" x14ac:dyDescent="0.25">
      <c r="A63" s="1012" t="s">
        <v>4001</v>
      </c>
      <c r="B63" s="1013"/>
      <c r="C63" s="1014"/>
      <c r="D63" s="1014"/>
      <c r="E63" s="1014"/>
      <c r="F63" s="1014"/>
      <c r="G63" s="1014"/>
      <c r="H63" s="1014"/>
      <c r="I63" s="1014"/>
      <c r="J63" s="1014"/>
      <c r="K63" s="1014"/>
      <c r="L63" s="1014"/>
      <c r="M63" s="1014"/>
      <c r="N63" s="1014"/>
      <c r="O63" s="1038"/>
      <c r="P63" s="1013"/>
      <c r="Q63" s="1039"/>
      <c r="R63" s="1040"/>
    </row>
    <row r="64" spans="1:18" x14ac:dyDescent="0.25">
      <c r="A64" s="1012" t="s">
        <v>4006</v>
      </c>
      <c r="B64" s="1013"/>
      <c r="C64" s="1014"/>
      <c r="D64" s="1014"/>
      <c r="E64" s="1014"/>
      <c r="F64" s="1014"/>
      <c r="G64" s="1014"/>
      <c r="H64" s="1014"/>
      <c r="I64" s="1014"/>
      <c r="J64" s="1014"/>
      <c r="K64" s="1014"/>
      <c r="L64" s="1014"/>
      <c r="M64" s="1014"/>
      <c r="N64" s="1014"/>
      <c r="O64" s="1038"/>
      <c r="P64" s="1013"/>
      <c r="Q64" s="1039"/>
      <c r="R64" s="1040"/>
    </row>
    <row r="65" spans="1:18" x14ac:dyDescent="0.25">
      <c r="A65" s="1012" t="s">
        <v>4002</v>
      </c>
      <c r="B65" s="1013"/>
      <c r="C65" s="1014"/>
      <c r="D65" s="1014"/>
      <c r="E65" s="1014"/>
      <c r="F65" s="1014"/>
      <c r="G65" s="1014"/>
      <c r="H65" s="1014"/>
      <c r="I65" s="1014"/>
      <c r="J65" s="1014"/>
      <c r="K65" s="1014"/>
      <c r="L65" s="1014"/>
      <c r="M65" s="1014"/>
      <c r="N65" s="1014"/>
      <c r="O65" s="1038"/>
      <c r="P65" s="1013"/>
      <c r="Q65" s="1039"/>
      <c r="R65" s="1040"/>
    </row>
    <row r="66" spans="1:18" x14ac:dyDescent="0.25">
      <c r="A66" s="1012" t="s">
        <v>4003</v>
      </c>
      <c r="B66" s="1013"/>
      <c r="C66" s="1014"/>
      <c r="D66" s="1014"/>
      <c r="E66" s="1014"/>
      <c r="F66" s="1014"/>
      <c r="G66" s="1014"/>
      <c r="H66" s="1014"/>
      <c r="I66" s="1014"/>
      <c r="J66" s="1014"/>
      <c r="K66" s="1014"/>
      <c r="L66" s="1014"/>
      <c r="M66" s="1014"/>
      <c r="N66" s="1014"/>
      <c r="O66" s="1038"/>
      <c r="P66" s="1013"/>
      <c r="Q66" s="1039"/>
      <c r="R66" s="1040"/>
    </row>
    <row r="67" spans="1:18" ht="13.8" thickBot="1" x14ac:dyDescent="0.3">
      <c r="A67" s="1041" t="s">
        <v>3167</v>
      </c>
      <c r="B67" s="1013"/>
      <c r="C67" s="1014"/>
      <c r="D67" s="1014"/>
      <c r="E67" s="1014"/>
      <c r="F67" s="1014"/>
      <c r="G67" s="1014"/>
      <c r="H67" s="1014"/>
      <c r="I67" s="1014"/>
      <c r="J67" s="1014"/>
      <c r="K67" s="1014"/>
      <c r="L67" s="1014"/>
      <c r="M67" s="1014"/>
      <c r="N67" s="1014"/>
      <c r="O67" s="1038"/>
      <c r="P67" s="1013"/>
      <c r="Q67" s="1039"/>
      <c r="R67" s="1040"/>
    </row>
    <row r="68" spans="1:18" ht="13.8" thickBot="1" x14ac:dyDescent="0.3">
      <c r="A68" s="111" t="s">
        <v>2602</v>
      </c>
      <c r="B68" s="1025"/>
      <c r="C68" s="1042"/>
      <c r="D68" s="1042"/>
      <c r="E68" s="1042"/>
      <c r="F68" s="1042"/>
      <c r="G68" s="1042"/>
      <c r="H68" s="1042"/>
      <c r="I68" s="1042"/>
      <c r="J68" s="1042"/>
      <c r="K68" s="1042"/>
      <c r="L68" s="1042"/>
      <c r="M68" s="1042"/>
      <c r="N68" s="1042"/>
      <c r="O68" s="1043"/>
      <c r="P68" s="1025"/>
      <c r="Q68" s="1044"/>
      <c r="R68" s="1045"/>
    </row>
  </sheetData>
  <mergeCells count="34">
    <mergeCell ref="L40:M40"/>
    <mergeCell ref="A37:R38"/>
    <mergeCell ref="A39:A40"/>
    <mergeCell ref="B39:C39"/>
    <mergeCell ref="D39:E39"/>
    <mergeCell ref="F39:G39"/>
    <mergeCell ref="H39:I39"/>
    <mergeCell ref="J39:K39"/>
    <mergeCell ref="L39:M39"/>
    <mergeCell ref="N39:O40"/>
    <mergeCell ref="P39:P40"/>
    <mergeCell ref="R39:R40"/>
    <mergeCell ref="B40:C40"/>
    <mergeCell ref="D40:E40"/>
    <mergeCell ref="H40:I40"/>
    <mergeCell ref="H6:I6"/>
    <mergeCell ref="J6:K6"/>
    <mergeCell ref="J40:K40"/>
    <mergeCell ref="F40:G40"/>
    <mergeCell ref="D6:E6"/>
    <mergeCell ref="F6:G6"/>
    <mergeCell ref="A3:R4"/>
    <mergeCell ref="A5:A6"/>
    <mergeCell ref="B5:C5"/>
    <mergeCell ref="D5:E5"/>
    <mergeCell ref="F5:G5"/>
    <mergeCell ref="H5:I5"/>
    <mergeCell ref="J5:K5"/>
    <mergeCell ref="L5:M5"/>
    <mergeCell ref="N5:O6"/>
    <mergeCell ref="P5:P6"/>
    <mergeCell ref="R5:R6"/>
    <mergeCell ref="B6:C6"/>
    <mergeCell ref="L6:M6"/>
  </mergeCells>
  <conditionalFormatting sqref="P23:Q23 P50:Q52 B51:K51">
    <cfRule type="cellIs" dxfId="12" priority="11" operator="equal">
      <formula>0</formula>
    </cfRule>
  </conditionalFormatting>
  <conditionalFormatting sqref="B35:M39 B50:M50 B41:M47 B52:M52 L51:M51">
    <cfRule type="cellIs" dxfId="11" priority="10" operator="equal">
      <formula>0</formula>
    </cfRule>
  </conditionalFormatting>
  <conditionalFormatting sqref="P35:Q39 P41:Q44">
    <cfRule type="cellIs" dxfId="10" priority="9" operator="equal">
      <formula>0</formula>
    </cfRule>
  </conditionalFormatting>
  <conditionalFormatting sqref="P45:Q47">
    <cfRule type="cellIs" dxfId="9" priority="8" operator="equal">
      <formula>0</formula>
    </cfRule>
  </conditionalFormatting>
  <conditionalFormatting sqref="B40:M40">
    <cfRule type="cellIs" dxfId="8" priority="7" operator="equal">
      <formula>0</formula>
    </cfRule>
  </conditionalFormatting>
  <conditionalFormatting sqref="P40:Q40">
    <cfRule type="cellIs" dxfId="7" priority="6" operator="equal">
      <formula>0</formula>
    </cfRule>
  </conditionalFormatting>
  <conditionalFormatting sqref="B9:M13 B15:M21 B23:M23">
    <cfRule type="cellIs" dxfId="6" priority="5" operator="equal">
      <formula>0</formula>
    </cfRule>
  </conditionalFormatting>
  <conditionalFormatting sqref="P9:Q13 P15:Q18">
    <cfRule type="cellIs" dxfId="5" priority="4" operator="equal">
      <formula>0</formula>
    </cfRule>
  </conditionalFormatting>
  <conditionalFormatting sqref="P19:Q21">
    <cfRule type="cellIs" dxfId="4" priority="3" operator="equal">
      <formula>0</formula>
    </cfRule>
  </conditionalFormatting>
  <conditionalFormatting sqref="B14:M14">
    <cfRule type="cellIs" dxfId="3" priority="2" operator="equal">
      <formula>0</formula>
    </cfRule>
  </conditionalFormatting>
  <conditionalFormatting sqref="P14:Q14">
    <cfRule type="cellIs" dxfId="2" priority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8" scale="9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B44"/>
  <sheetViews>
    <sheetView zoomScale="85" zoomScaleNormal="85" workbookViewId="0">
      <pane xSplit="2" ySplit="6" topLeftCell="E7" activePane="bottomRight" state="frozen"/>
      <selection pane="topRight" activeCell="C1" sqref="C1"/>
      <selection pane="bottomLeft" activeCell="A7" sqref="A7"/>
      <selection pane="bottomRight" activeCell="J3" sqref="J3:J4"/>
    </sheetView>
  </sheetViews>
  <sheetFormatPr defaultRowHeight="15.6" x14ac:dyDescent="0.3"/>
  <cols>
    <col min="1" max="2" width="14.21875" customWidth="1"/>
    <col min="3" max="4" width="25.109375" customWidth="1"/>
    <col min="5" max="5" width="11.33203125" bestFit="1" customWidth="1"/>
    <col min="6" max="6" width="10.109375" hidden="1" customWidth="1"/>
    <col min="7" max="7" width="16.109375" bestFit="1" customWidth="1"/>
    <col min="8" max="8" width="10.44140625" customWidth="1"/>
    <col min="9" max="9" width="17" bestFit="1" customWidth="1"/>
    <col min="10" max="10" width="12.88671875" bestFit="1" customWidth="1"/>
    <col min="11" max="11" width="10.33203125" bestFit="1" customWidth="1"/>
    <col min="12" max="12" width="20.77734375" bestFit="1" customWidth="1"/>
    <col min="13" max="13" width="7" bestFit="1" customWidth="1"/>
    <col min="14" max="14" width="10.33203125" bestFit="1" customWidth="1"/>
    <col min="15" max="15" width="22.21875" bestFit="1" customWidth="1"/>
    <col min="16" max="16" width="14.21875" bestFit="1" customWidth="1"/>
    <col min="17" max="17" width="11.33203125" bestFit="1" customWidth="1"/>
    <col min="18" max="18" width="10.77734375" customWidth="1"/>
    <col min="19" max="19" width="10.33203125" customWidth="1"/>
    <col min="20" max="20" width="13.109375" bestFit="1" customWidth="1"/>
    <col min="21" max="21" width="13.6640625" bestFit="1" customWidth="1"/>
    <col min="22" max="23" width="22.6640625" bestFit="1" customWidth="1"/>
    <col min="25" max="25" width="9.88671875" style="803" bestFit="1" customWidth="1"/>
    <col min="26" max="26" width="8.6640625" style="2" bestFit="1" customWidth="1"/>
    <col min="27" max="27" width="9" style="2"/>
  </cols>
  <sheetData>
    <row r="1" spans="1:28" ht="21" x14ac:dyDescent="0.4">
      <c r="A1" s="18" t="s">
        <v>4007</v>
      </c>
      <c r="B1" s="18"/>
      <c r="U1" t="s">
        <v>38</v>
      </c>
    </row>
    <row r="2" spans="1:28" ht="16.2" thickBot="1" x14ac:dyDescent="0.35"/>
    <row r="3" spans="1:28" ht="40.5" customHeight="1" x14ac:dyDescent="0.3">
      <c r="A3" s="1162" t="s">
        <v>3168</v>
      </c>
      <c r="B3" s="1163"/>
      <c r="C3" s="1164"/>
      <c r="D3" s="804" t="s">
        <v>3169</v>
      </c>
      <c r="E3" s="1146" t="s">
        <v>3196</v>
      </c>
      <c r="F3" s="1146" t="s">
        <v>3197</v>
      </c>
      <c r="G3" s="1146" t="s">
        <v>3198</v>
      </c>
      <c r="H3" s="1146" t="s">
        <v>3199</v>
      </c>
      <c r="I3" s="1146" t="s">
        <v>4008</v>
      </c>
      <c r="J3" s="1146" t="s">
        <v>3200</v>
      </c>
      <c r="K3" s="1146" t="s">
        <v>3201</v>
      </c>
      <c r="L3" s="1146" t="s">
        <v>3202</v>
      </c>
      <c r="M3" s="1146" t="s">
        <v>3203</v>
      </c>
      <c r="N3" s="1146" t="s">
        <v>183</v>
      </c>
      <c r="O3" s="1146" t="s">
        <v>3204</v>
      </c>
      <c r="P3" s="1146" t="s">
        <v>4009</v>
      </c>
      <c r="Q3" s="1146" t="s">
        <v>2602</v>
      </c>
      <c r="R3" s="1146" t="s">
        <v>4010</v>
      </c>
      <c r="S3" s="1146" t="s">
        <v>4011</v>
      </c>
      <c r="T3" s="1146" t="s">
        <v>3205</v>
      </c>
      <c r="U3" s="1146" t="s">
        <v>3206</v>
      </c>
      <c r="V3" s="1146" t="s">
        <v>4012</v>
      </c>
      <c r="W3" s="1146" t="s">
        <v>4013</v>
      </c>
    </row>
    <row r="4" spans="1:28" ht="44.25" customHeight="1" thickBot="1" x14ac:dyDescent="0.35">
      <c r="A4" s="805" t="s">
        <v>3184</v>
      </c>
      <c r="B4" s="806" t="s">
        <v>3185</v>
      </c>
      <c r="C4" s="807" t="s">
        <v>121</v>
      </c>
      <c r="D4" s="808" t="s">
        <v>4014</v>
      </c>
      <c r="E4" s="1147"/>
      <c r="F4" s="1147"/>
      <c r="G4" s="1147"/>
      <c r="H4" s="1147"/>
      <c r="I4" s="1147"/>
      <c r="J4" s="1147"/>
      <c r="K4" s="1147"/>
      <c r="L4" s="1147"/>
      <c r="M4" s="1147"/>
      <c r="N4" s="1147"/>
      <c r="O4" s="1147"/>
      <c r="P4" s="1147"/>
      <c r="Q4" s="1147"/>
      <c r="R4" s="1147"/>
      <c r="S4" s="1147"/>
      <c r="T4" s="1147"/>
      <c r="U4" s="1147"/>
      <c r="V4" s="1147"/>
      <c r="W4" s="1147"/>
    </row>
    <row r="5" spans="1:28" ht="15" customHeight="1" thickBot="1" x14ac:dyDescent="0.35">
      <c r="A5" s="1151" t="s">
        <v>2921</v>
      </c>
      <c r="B5" s="1152"/>
      <c r="C5" s="1152"/>
      <c r="D5" s="809"/>
      <c r="E5" s="810">
        <f t="shared" ref="E5:W5" si="0">SUM(E6:E28)</f>
        <v>500775104</v>
      </c>
      <c r="F5" s="810">
        <f t="shared" si="0"/>
        <v>0</v>
      </c>
      <c r="G5" s="810">
        <f t="shared" si="0"/>
        <v>2720000</v>
      </c>
      <c r="H5" s="810">
        <f t="shared" si="0"/>
        <v>6960000</v>
      </c>
      <c r="I5" s="810">
        <f t="shared" si="0"/>
        <v>1303824</v>
      </c>
      <c r="J5" s="810">
        <f t="shared" si="0"/>
        <v>10876600</v>
      </c>
      <c r="K5" s="810">
        <f t="shared" si="0"/>
        <v>17338672</v>
      </c>
      <c r="L5" s="810">
        <f t="shared" si="0"/>
        <v>0</v>
      </c>
      <c r="M5" s="810">
        <f t="shared" si="0"/>
        <v>0</v>
      </c>
      <c r="N5" s="810">
        <f t="shared" si="0"/>
        <v>19842500</v>
      </c>
      <c r="O5" s="810">
        <f t="shared" si="0"/>
        <v>0</v>
      </c>
      <c r="P5" s="810">
        <f t="shared" si="0"/>
        <v>3360000</v>
      </c>
      <c r="Q5" s="810">
        <f t="shared" si="0"/>
        <v>563176700</v>
      </c>
      <c r="R5" s="810">
        <f t="shared" si="0"/>
        <v>71573610.263999999</v>
      </c>
      <c r="S5" s="810">
        <f t="shared" si="0"/>
        <v>10157400</v>
      </c>
      <c r="T5" s="810">
        <f t="shared" si="0"/>
        <v>81731010.263999999</v>
      </c>
      <c r="U5" s="810">
        <f t="shared" si="0"/>
        <v>644907710.26400006</v>
      </c>
      <c r="V5" s="811">
        <f t="shared" si="0"/>
        <v>23305125</v>
      </c>
      <c r="W5" s="811">
        <f t="shared" si="0"/>
        <v>621602585.26400006</v>
      </c>
    </row>
    <row r="6" spans="1:28" x14ac:dyDescent="0.3">
      <c r="A6" s="812" t="s">
        <v>3588</v>
      </c>
      <c r="B6" s="813" t="s">
        <v>3599</v>
      </c>
      <c r="C6" s="813" t="s">
        <v>4015</v>
      </c>
      <c r="D6" s="814" t="s">
        <v>4016</v>
      </c>
      <c r="E6" s="815">
        <v>72393500</v>
      </c>
      <c r="F6" s="815"/>
      <c r="G6" s="815"/>
      <c r="H6" s="815">
        <v>480000</v>
      </c>
      <c r="I6" s="815">
        <v>198408</v>
      </c>
      <c r="J6" s="815">
        <v>1164000</v>
      </c>
      <c r="K6" s="815"/>
      <c r="L6" s="815"/>
      <c r="M6" s="815"/>
      <c r="N6" s="815">
        <v>2773500</v>
      </c>
      <c r="O6" s="815"/>
      <c r="P6" s="815"/>
      <c r="Q6" s="86">
        <f>SUM(E6:P6)</f>
        <v>77009408</v>
      </c>
      <c r="R6" s="86">
        <f>(E6+G6+H6+I6+N6+P6)*0.13+(K6*0.9)*0.13</f>
        <v>9859903.040000001</v>
      </c>
      <c r="S6" s="815">
        <v>1641600</v>
      </c>
      <c r="T6" s="815">
        <f t="shared" ref="T6:T27" si="1">R6+S6</f>
        <v>11501503.040000001</v>
      </c>
      <c r="U6" s="815">
        <f t="shared" ref="U6:U27" si="2">Q6+T6</f>
        <v>88510911.040000007</v>
      </c>
      <c r="V6" s="815"/>
      <c r="W6" s="815">
        <f t="shared" ref="W6:W27" si="3">U6-V6</f>
        <v>88510911.040000007</v>
      </c>
    </row>
    <row r="7" spans="1:28" x14ac:dyDescent="0.3">
      <c r="A7" s="816" t="s">
        <v>3618</v>
      </c>
      <c r="B7" s="817" t="s">
        <v>3599</v>
      </c>
      <c r="C7" s="817" t="s">
        <v>4015</v>
      </c>
      <c r="D7" s="818" t="s">
        <v>4017</v>
      </c>
      <c r="E7" s="735">
        <v>4225000</v>
      </c>
      <c r="F7" s="735"/>
      <c r="G7" s="735"/>
      <c r="H7" s="735"/>
      <c r="I7" s="735">
        <v>14172</v>
      </c>
      <c r="J7" s="735"/>
      <c r="K7" s="735"/>
      <c r="L7" s="735"/>
      <c r="M7" s="735"/>
      <c r="N7" s="735"/>
      <c r="O7" s="735"/>
      <c r="P7" s="735">
        <v>1680000</v>
      </c>
      <c r="Q7" s="86">
        <f t="shared" ref="Q7:Q27" si="4">SUM(E7:P7)</f>
        <v>5919172</v>
      </c>
      <c r="R7" s="86">
        <f t="shared" ref="R7:R27" si="5">(E7+G7+H7+I7+N7+P7)*0.13+(K7*0.9)*0.13</f>
        <v>769492.36</v>
      </c>
      <c r="S7" s="735">
        <v>102600</v>
      </c>
      <c r="T7" s="735">
        <f t="shared" si="1"/>
        <v>872092.36</v>
      </c>
      <c r="U7" s="735">
        <f t="shared" si="2"/>
        <v>6791264.3600000003</v>
      </c>
      <c r="V7" s="735">
        <v>6791264</v>
      </c>
      <c r="W7" s="735">
        <f t="shared" si="3"/>
        <v>0.36000000033527613</v>
      </c>
      <c r="AB7" s="2"/>
    </row>
    <row r="8" spans="1:28" x14ac:dyDescent="0.3">
      <c r="A8" s="816" t="s">
        <v>3432</v>
      </c>
      <c r="B8" s="817" t="s">
        <v>3608</v>
      </c>
      <c r="C8" s="817" t="s">
        <v>4018</v>
      </c>
      <c r="D8" s="818" t="s">
        <v>4016</v>
      </c>
      <c r="E8" s="735">
        <v>27136500</v>
      </c>
      <c r="F8" s="735"/>
      <c r="G8" s="735"/>
      <c r="H8" s="735">
        <v>480000</v>
      </c>
      <c r="I8" s="735">
        <v>56688</v>
      </c>
      <c r="J8" s="735">
        <v>700000</v>
      </c>
      <c r="K8" s="735"/>
      <c r="L8" s="735"/>
      <c r="M8" s="735"/>
      <c r="N8" s="735"/>
      <c r="O8" s="735"/>
      <c r="P8" s="735"/>
      <c r="Q8" s="86">
        <f t="shared" si="4"/>
        <v>28373188</v>
      </c>
      <c r="R8" s="86">
        <f t="shared" si="5"/>
        <v>3597514.44</v>
      </c>
      <c r="S8" s="735">
        <v>615600</v>
      </c>
      <c r="T8" s="735">
        <f t="shared" si="1"/>
        <v>4213114.4399999995</v>
      </c>
      <c r="U8" s="735">
        <f t="shared" si="2"/>
        <v>32586302.439999998</v>
      </c>
      <c r="V8" s="735"/>
      <c r="W8" s="735">
        <f t="shared" si="3"/>
        <v>32586302.439999998</v>
      </c>
      <c r="AB8" s="2"/>
    </row>
    <row r="9" spans="1:28" x14ac:dyDescent="0.3">
      <c r="A9" s="816" t="s">
        <v>3618</v>
      </c>
      <c r="B9" s="817" t="s">
        <v>3608</v>
      </c>
      <c r="C9" s="817" t="s">
        <v>4018</v>
      </c>
      <c r="D9" s="818" t="s">
        <v>4017</v>
      </c>
      <c r="E9" s="735">
        <v>6377600</v>
      </c>
      <c r="F9" s="735"/>
      <c r="G9" s="735"/>
      <c r="H9" s="735"/>
      <c r="I9" s="735">
        <v>28344</v>
      </c>
      <c r="J9" s="21"/>
      <c r="K9" s="735"/>
      <c r="L9" s="735"/>
      <c r="M9" s="735"/>
      <c r="N9" s="735"/>
      <c r="O9" s="735"/>
      <c r="P9" s="735">
        <v>840000</v>
      </c>
      <c r="Q9" s="86">
        <f t="shared" si="4"/>
        <v>7245944</v>
      </c>
      <c r="R9" s="86">
        <f t="shared" si="5"/>
        <v>941972.72000000009</v>
      </c>
      <c r="S9" s="735">
        <v>205200</v>
      </c>
      <c r="T9" s="735">
        <f t="shared" si="1"/>
        <v>1147172.7200000002</v>
      </c>
      <c r="U9" s="735">
        <f t="shared" si="2"/>
        <v>8393116.7200000007</v>
      </c>
      <c r="V9" s="735">
        <v>8393117</v>
      </c>
      <c r="W9" s="735">
        <f t="shared" si="3"/>
        <v>-0.27999999932944775</v>
      </c>
      <c r="AB9" s="2"/>
    </row>
    <row r="10" spans="1:28" s="15" customFormat="1" x14ac:dyDescent="0.3">
      <c r="A10" s="819" t="s">
        <v>3592</v>
      </c>
      <c r="B10" s="820" t="s">
        <v>3604</v>
      </c>
      <c r="C10" s="820" t="s">
        <v>4019</v>
      </c>
      <c r="D10" s="821" t="s">
        <v>4016</v>
      </c>
      <c r="E10" s="744">
        <v>35231200</v>
      </c>
      <c r="F10" s="744"/>
      <c r="G10" s="744">
        <v>440000</v>
      </c>
      <c r="H10" s="744">
        <v>480000</v>
      </c>
      <c r="I10" s="744">
        <v>85032</v>
      </c>
      <c r="J10" s="744">
        <v>800000</v>
      </c>
      <c r="K10" s="744"/>
      <c r="L10" s="744"/>
      <c r="M10" s="744"/>
      <c r="N10" s="744">
        <v>3063000</v>
      </c>
      <c r="O10" s="744"/>
      <c r="P10" s="744"/>
      <c r="Q10" s="413">
        <f t="shared" si="4"/>
        <v>40099232</v>
      </c>
      <c r="R10" s="413">
        <f t="shared" si="5"/>
        <v>5108900.16</v>
      </c>
      <c r="S10" s="744">
        <v>615600</v>
      </c>
      <c r="T10" s="744">
        <f t="shared" si="1"/>
        <v>5724500.1600000001</v>
      </c>
      <c r="U10" s="744">
        <f t="shared" si="2"/>
        <v>45823732.159999996</v>
      </c>
      <c r="V10" s="744"/>
      <c r="W10" s="744">
        <f t="shared" si="3"/>
        <v>45823732.159999996</v>
      </c>
      <c r="Y10" s="822"/>
      <c r="Z10" s="16"/>
      <c r="AA10" s="16"/>
    </row>
    <row r="11" spans="1:28" x14ac:dyDescent="0.3">
      <c r="A11" s="816" t="s">
        <v>3592</v>
      </c>
      <c r="B11" s="817" t="s">
        <v>3604</v>
      </c>
      <c r="C11" s="817" t="s">
        <v>4019</v>
      </c>
      <c r="D11" s="818" t="s">
        <v>4020</v>
      </c>
      <c r="E11" s="735"/>
      <c r="F11" s="735"/>
      <c r="G11" s="735"/>
      <c r="H11" s="735"/>
      <c r="I11" s="735"/>
      <c r="J11" s="735"/>
      <c r="K11" s="735">
        <v>210000</v>
      </c>
      <c r="L11" s="735"/>
      <c r="M11" s="735"/>
      <c r="N11" s="735"/>
      <c r="O11" s="735"/>
      <c r="P11" s="735"/>
      <c r="Q11" s="86">
        <f t="shared" si="4"/>
        <v>210000</v>
      </c>
      <c r="R11" s="86">
        <f t="shared" si="5"/>
        <v>24570</v>
      </c>
      <c r="S11" s="735">
        <v>0</v>
      </c>
      <c r="T11" s="735">
        <f t="shared" si="1"/>
        <v>24570</v>
      </c>
      <c r="U11" s="735">
        <f t="shared" si="2"/>
        <v>234570</v>
      </c>
      <c r="V11" s="735"/>
      <c r="W11" s="735">
        <f t="shared" si="3"/>
        <v>234570</v>
      </c>
    </row>
    <row r="12" spans="1:28" x14ac:dyDescent="0.3">
      <c r="A12" s="816" t="s">
        <v>3593</v>
      </c>
      <c r="B12" s="817" t="s">
        <v>3605</v>
      </c>
      <c r="C12" s="817" t="s">
        <v>4021</v>
      </c>
      <c r="D12" s="818" t="s">
        <v>4016</v>
      </c>
      <c r="E12" s="86">
        <v>15409319</v>
      </c>
      <c r="F12" s="86"/>
      <c r="G12" s="86"/>
      <c r="H12" s="735">
        <v>480000</v>
      </c>
      <c r="I12" s="86">
        <v>42516</v>
      </c>
      <c r="J12" s="735">
        <v>560000</v>
      </c>
      <c r="K12" s="86"/>
      <c r="L12" s="86"/>
      <c r="M12" s="86"/>
      <c r="N12" s="86"/>
      <c r="O12" s="86"/>
      <c r="P12" s="86"/>
      <c r="Q12" s="86">
        <f t="shared" si="4"/>
        <v>16491835</v>
      </c>
      <c r="R12" s="86">
        <f t="shared" si="5"/>
        <v>2071138.55</v>
      </c>
      <c r="S12" s="86">
        <v>410400</v>
      </c>
      <c r="T12" s="86">
        <f t="shared" si="1"/>
        <v>2481538.5499999998</v>
      </c>
      <c r="U12" s="86">
        <f t="shared" si="2"/>
        <v>18973373.550000001</v>
      </c>
      <c r="V12" s="86"/>
      <c r="W12" s="86">
        <f t="shared" si="3"/>
        <v>18973373.550000001</v>
      </c>
    </row>
    <row r="13" spans="1:28" x14ac:dyDescent="0.3">
      <c r="A13" s="816" t="s">
        <v>3595</v>
      </c>
      <c r="B13" s="817" t="s">
        <v>3607</v>
      </c>
      <c r="C13" s="817" t="s">
        <v>4022</v>
      </c>
      <c r="D13" s="818" t="s">
        <v>4016</v>
      </c>
      <c r="E13" s="86">
        <v>39356800</v>
      </c>
      <c r="F13" s="86"/>
      <c r="G13" s="86"/>
      <c r="H13" s="735">
        <v>480000</v>
      </c>
      <c r="I13" s="86">
        <v>113376</v>
      </c>
      <c r="J13" s="86">
        <v>2200000</v>
      </c>
      <c r="K13" s="86"/>
      <c r="L13" s="86"/>
      <c r="M13" s="86"/>
      <c r="N13" s="86">
        <v>2198000</v>
      </c>
      <c r="O13" s="86"/>
      <c r="P13" s="86"/>
      <c r="Q13" s="86">
        <f t="shared" si="4"/>
        <v>44348176</v>
      </c>
      <c r="R13" s="86">
        <f t="shared" si="5"/>
        <v>5479262.8799999999</v>
      </c>
      <c r="S13" s="86">
        <v>820800</v>
      </c>
      <c r="T13" s="86">
        <f t="shared" si="1"/>
        <v>6300062.8799999999</v>
      </c>
      <c r="U13" s="86">
        <f t="shared" si="2"/>
        <v>50648238.880000003</v>
      </c>
      <c r="V13" s="86"/>
      <c r="W13" s="86">
        <f t="shared" si="3"/>
        <v>50648238.880000003</v>
      </c>
    </row>
    <row r="14" spans="1:28" x14ac:dyDescent="0.3">
      <c r="A14" s="816" t="s">
        <v>3595</v>
      </c>
      <c r="B14" s="817" t="s">
        <v>3607</v>
      </c>
      <c r="C14" s="817" t="s">
        <v>4022</v>
      </c>
      <c r="D14" s="818" t="s">
        <v>4020</v>
      </c>
      <c r="E14" s="86"/>
      <c r="F14" s="86"/>
      <c r="G14" s="86"/>
      <c r="H14" s="735"/>
      <c r="I14" s="86"/>
      <c r="J14" s="86"/>
      <c r="K14" s="86">
        <v>2023000</v>
      </c>
      <c r="L14" s="86"/>
      <c r="M14" s="86"/>
      <c r="N14" s="86"/>
      <c r="O14" s="86"/>
      <c r="P14" s="86"/>
      <c r="Q14" s="86">
        <f t="shared" si="4"/>
        <v>2023000</v>
      </c>
      <c r="R14" s="86">
        <f t="shared" si="5"/>
        <v>236691</v>
      </c>
      <c r="S14" s="86">
        <v>0</v>
      </c>
      <c r="T14" s="86">
        <f t="shared" si="1"/>
        <v>236691</v>
      </c>
      <c r="U14" s="86">
        <f t="shared" si="2"/>
        <v>2259691</v>
      </c>
      <c r="V14" s="86"/>
      <c r="W14" s="86">
        <f t="shared" si="3"/>
        <v>2259691</v>
      </c>
    </row>
    <row r="15" spans="1:28" ht="15" customHeight="1" x14ac:dyDescent="0.3">
      <c r="A15" s="816" t="s">
        <v>3596</v>
      </c>
      <c r="B15" s="817" t="s">
        <v>3609</v>
      </c>
      <c r="C15" s="817" t="s">
        <v>2873</v>
      </c>
      <c r="D15" s="818" t="s">
        <v>4016</v>
      </c>
      <c r="E15" s="86">
        <v>10904000</v>
      </c>
      <c r="F15" s="86"/>
      <c r="G15" s="86"/>
      <c r="H15" s="735">
        <v>480000</v>
      </c>
      <c r="I15" s="86">
        <v>28344</v>
      </c>
      <c r="J15" s="86"/>
      <c r="K15" s="86"/>
      <c r="L15" s="86"/>
      <c r="M15" s="86"/>
      <c r="N15" s="86">
        <v>1140000</v>
      </c>
      <c r="O15" s="86"/>
      <c r="P15" s="86"/>
      <c r="Q15" s="86">
        <f t="shared" si="4"/>
        <v>12552344</v>
      </c>
      <c r="R15" s="86">
        <f t="shared" si="5"/>
        <v>1631804.72</v>
      </c>
      <c r="S15" s="823">
        <v>205200</v>
      </c>
      <c r="T15" s="86">
        <f t="shared" si="1"/>
        <v>1837004.72</v>
      </c>
      <c r="U15" s="86">
        <f t="shared" si="2"/>
        <v>14389348.720000001</v>
      </c>
      <c r="V15" s="86"/>
      <c r="W15" s="86">
        <f t="shared" si="3"/>
        <v>14389348.720000001</v>
      </c>
    </row>
    <row r="16" spans="1:28" ht="15" customHeight="1" x14ac:dyDescent="0.3">
      <c r="A16" s="816" t="s">
        <v>3618</v>
      </c>
      <c r="B16" s="817" t="s">
        <v>3609</v>
      </c>
      <c r="C16" s="817" t="s">
        <v>2873</v>
      </c>
      <c r="D16" s="818" t="s">
        <v>4017</v>
      </c>
      <c r="E16" s="735">
        <v>4225000</v>
      </c>
      <c r="F16" s="735"/>
      <c r="G16" s="735"/>
      <c r="H16" s="735"/>
      <c r="I16" s="735">
        <v>14172</v>
      </c>
      <c r="J16" s="735"/>
      <c r="K16" s="735">
        <v>2040000</v>
      </c>
      <c r="L16" s="735"/>
      <c r="M16" s="735"/>
      <c r="N16" s="735"/>
      <c r="O16" s="735"/>
      <c r="P16" s="735">
        <v>840000</v>
      </c>
      <c r="Q16" s="86">
        <f t="shared" si="4"/>
        <v>7119172</v>
      </c>
      <c r="R16" s="86">
        <f t="shared" si="5"/>
        <v>898972.36</v>
      </c>
      <c r="S16" s="86">
        <v>102600</v>
      </c>
      <c r="T16" s="86">
        <f t="shared" si="1"/>
        <v>1001572.36</v>
      </c>
      <c r="U16" s="86">
        <f t="shared" si="2"/>
        <v>8120744.3600000003</v>
      </c>
      <c r="V16" s="86">
        <f>8147264-26520</f>
        <v>8120744</v>
      </c>
      <c r="W16" s="86">
        <f t="shared" si="3"/>
        <v>0.36000000033527613</v>
      </c>
    </row>
    <row r="17" spans="1:27" ht="15" customHeight="1" x14ac:dyDescent="0.3">
      <c r="A17" s="816" t="s">
        <v>3597</v>
      </c>
      <c r="B17" s="817" t="s">
        <v>3610</v>
      </c>
      <c r="C17" s="817" t="s">
        <v>2874</v>
      </c>
      <c r="D17" s="818" t="s">
        <v>4016</v>
      </c>
      <c r="E17" s="735">
        <v>39448800</v>
      </c>
      <c r="F17" s="735"/>
      <c r="G17" s="735"/>
      <c r="H17" s="735">
        <v>480000</v>
      </c>
      <c r="I17" s="735">
        <v>99204</v>
      </c>
      <c r="J17" s="735">
        <v>830000</v>
      </c>
      <c r="K17" s="735"/>
      <c r="L17" s="735"/>
      <c r="M17" s="735"/>
      <c r="N17" s="735">
        <v>2090000</v>
      </c>
      <c r="O17" s="735"/>
      <c r="P17" s="735"/>
      <c r="Q17" s="86">
        <f t="shared" si="4"/>
        <v>42948004</v>
      </c>
      <c r="R17" s="86">
        <f t="shared" si="5"/>
        <v>5475340.5200000005</v>
      </c>
      <c r="S17" s="413">
        <v>718200</v>
      </c>
      <c r="T17" s="86">
        <f t="shared" si="1"/>
        <v>6193540.5200000005</v>
      </c>
      <c r="U17" s="86">
        <f t="shared" si="2"/>
        <v>49141544.520000003</v>
      </c>
      <c r="V17" s="86"/>
      <c r="W17" s="86">
        <f t="shared" si="3"/>
        <v>49141544.520000003</v>
      </c>
    </row>
    <row r="18" spans="1:27" ht="15" customHeight="1" x14ac:dyDescent="0.3">
      <c r="A18" s="816" t="s">
        <v>3597</v>
      </c>
      <c r="B18" s="817" t="s">
        <v>3610</v>
      </c>
      <c r="C18" s="817" t="s">
        <v>2874</v>
      </c>
      <c r="D18" s="818" t="s">
        <v>4020</v>
      </c>
      <c r="E18" s="735"/>
      <c r="F18" s="735"/>
      <c r="G18" s="735"/>
      <c r="H18" s="735"/>
      <c r="I18" s="735"/>
      <c r="J18" s="735"/>
      <c r="K18" s="735">
        <v>1736000</v>
      </c>
      <c r="L18" s="735"/>
      <c r="M18" s="735"/>
      <c r="N18" s="735"/>
      <c r="O18" s="735"/>
      <c r="P18" s="735"/>
      <c r="Q18" s="86">
        <f t="shared" si="4"/>
        <v>1736000</v>
      </c>
      <c r="R18" s="86">
        <f t="shared" si="5"/>
        <v>203112</v>
      </c>
      <c r="S18" s="413">
        <v>0</v>
      </c>
      <c r="T18" s="86">
        <f t="shared" si="1"/>
        <v>203112</v>
      </c>
      <c r="U18" s="86">
        <f t="shared" si="2"/>
        <v>1939112</v>
      </c>
      <c r="V18" s="86"/>
      <c r="W18" s="86">
        <f t="shared" si="3"/>
        <v>1939112</v>
      </c>
    </row>
    <row r="19" spans="1:27" ht="15" customHeight="1" x14ac:dyDescent="0.3">
      <c r="A19" s="816" t="s">
        <v>3598</v>
      </c>
      <c r="B19" s="817" t="s">
        <v>3611</v>
      </c>
      <c r="C19" s="817" t="s">
        <v>4023</v>
      </c>
      <c r="D19" s="818" t="s">
        <v>4016</v>
      </c>
      <c r="E19" s="735">
        <v>26327600</v>
      </c>
      <c r="F19" s="735"/>
      <c r="G19" s="735"/>
      <c r="H19" s="735">
        <v>480000</v>
      </c>
      <c r="I19" s="735">
        <v>70860</v>
      </c>
      <c r="J19" s="735">
        <v>320000</v>
      </c>
      <c r="K19" s="735"/>
      <c r="L19" s="735"/>
      <c r="M19" s="735"/>
      <c r="N19" s="735">
        <v>2090000</v>
      </c>
      <c r="O19" s="735"/>
      <c r="P19" s="735"/>
      <c r="Q19" s="86">
        <f t="shared" si="4"/>
        <v>29288460</v>
      </c>
      <c r="R19" s="86">
        <f t="shared" si="5"/>
        <v>3765899.8000000003</v>
      </c>
      <c r="S19" s="413">
        <v>513000</v>
      </c>
      <c r="T19" s="86">
        <f t="shared" si="1"/>
        <v>4278899.8000000007</v>
      </c>
      <c r="U19" s="86">
        <f t="shared" si="2"/>
        <v>33567359.799999997</v>
      </c>
      <c r="V19" s="86"/>
      <c r="W19" s="86">
        <f t="shared" si="3"/>
        <v>33567359.799999997</v>
      </c>
    </row>
    <row r="20" spans="1:27" x14ac:dyDescent="0.3">
      <c r="A20" s="816" t="s">
        <v>1085</v>
      </c>
      <c r="B20" s="817" t="s">
        <v>3600</v>
      </c>
      <c r="C20" s="817" t="s">
        <v>4024</v>
      </c>
      <c r="D20" s="818" t="s">
        <v>4016</v>
      </c>
      <c r="E20" s="735">
        <v>56373400</v>
      </c>
      <c r="F20" s="735"/>
      <c r="G20" s="735"/>
      <c r="H20" s="735">
        <v>480000</v>
      </c>
      <c r="I20" s="735">
        <v>113376</v>
      </c>
      <c r="J20" s="735">
        <v>593600</v>
      </c>
      <c r="K20" s="735"/>
      <c r="L20" s="735"/>
      <c r="M20" s="735"/>
      <c r="N20" s="735">
        <v>6488000</v>
      </c>
      <c r="O20" s="735"/>
      <c r="P20" s="735"/>
      <c r="Q20" s="86">
        <f t="shared" si="4"/>
        <v>64048376</v>
      </c>
      <c r="R20" s="86">
        <f t="shared" si="5"/>
        <v>8249120.8799999999</v>
      </c>
      <c r="S20" s="413">
        <v>923400</v>
      </c>
      <c r="T20" s="86">
        <f t="shared" si="1"/>
        <v>9172520.879999999</v>
      </c>
      <c r="U20" s="86">
        <f t="shared" si="2"/>
        <v>73220896.879999995</v>
      </c>
      <c r="V20" s="86"/>
      <c r="W20" s="86">
        <f t="shared" si="3"/>
        <v>73220896.879999995</v>
      </c>
    </row>
    <row r="21" spans="1:27" x14ac:dyDescent="0.3">
      <c r="A21" s="816" t="s">
        <v>3591</v>
      </c>
      <c r="B21" s="817" t="s">
        <v>3603</v>
      </c>
      <c r="C21" s="817" t="s">
        <v>2868</v>
      </c>
      <c r="D21" s="818" t="s">
        <v>4016</v>
      </c>
      <c r="E21" s="735">
        <v>21051600</v>
      </c>
      <c r="F21" s="735"/>
      <c r="G21" s="735"/>
      <c r="H21" s="735"/>
      <c r="I21" s="735">
        <v>56688</v>
      </c>
      <c r="J21" s="735">
        <v>640000</v>
      </c>
      <c r="K21" s="735"/>
      <c r="L21" s="735"/>
      <c r="M21" s="735"/>
      <c r="N21" s="735"/>
      <c r="O21" s="735"/>
      <c r="P21" s="735"/>
      <c r="Q21" s="86">
        <f t="shared" si="4"/>
        <v>21748288</v>
      </c>
      <c r="R21" s="86">
        <f t="shared" si="5"/>
        <v>2744077.44</v>
      </c>
      <c r="S21" s="413">
        <v>410400</v>
      </c>
      <c r="T21" s="86">
        <f t="shared" si="1"/>
        <v>3154477.44</v>
      </c>
      <c r="U21" s="86">
        <f t="shared" si="2"/>
        <v>24902765.440000001</v>
      </c>
      <c r="V21" s="86"/>
      <c r="W21" s="86">
        <f t="shared" si="3"/>
        <v>24902765.440000001</v>
      </c>
    </row>
    <row r="22" spans="1:27" x14ac:dyDescent="0.3">
      <c r="A22" s="816" t="s">
        <v>3590</v>
      </c>
      <c r="B22" s="817" t="s">
        <v>3602</v>
      </c>
      <c r="C22" s="817" t="s">
        <v>2867</v>
      </c>
      <c r="D22" s="818" t="s">
        <v>4016</v>
      </c>
      <c r="E22" s="735">
        <v>54881100</v>
      </c>
      <c r="F22" s="735"/>
      <c r="G22" s="735">
        <v>480000</v>
      </c>
      <c r="H22" s="735">
        <v>480000</v>
      </c>
      <c r="I22" s="735">
        <v>141720</v>
      </c>
      <c r="J22" s="735">
        <v>1388000</v>
      </c>
      <c r="K22" s="735"/>
      <c r="L22" s="735"/>
      <c r="M22" s="735"/>
      <c r="N22" s="735"/>
      <c r="O22" s="735"/>
      <c r="P22" s="735"/>
      <c r="Q22" s="86">
        <f t="shared" si="4"/>
        <v>57370820</v>
      </c>
      <c r="R22" s="86">
        <f t="shared" si="5"/>
        <v>7277766.6000000006</v>
      </c>
      <c r="S22" s="413">
        <v>1026000</v>
      </c>
      <c r="T22" s="86">
        <f t="shared" si="1"/>
        <v>8303766.6000000006</v>
      </c>
      <c r="U22" s="86">
        <f t="shared" si="2"/>
        <v>65674586.600000001</v>
      </c>
      <c r="V22" s="86"/>
      <c r="W22" s="86">
        <f t="shared" si="3"/>
        <v>65674586.600000001</v>
      </c>
    </row>
    <row r="23" spans="1:27" x14ac:dyDescent="0.3">
      <c r="A23" s="816" t="s">
        <v>3589</v>
      </c>
      <c r="B23" s="817" t="s">
        <v>3601</v>
      </c>
      <c r="C23" s="817" t="s">
        <v>2866</v>
      </c>
      <c r="D23" s="818" t="s">
        <v>4016</v>
      </c>
      <c r="E23" s="86">
        <v>10426400</v>
      </c>
      <c r="F23" s="86"/>
      <c r="G23" s="86"/>
      <c r="H23" s="86"/>
      <c r="I23" s="86">
        <v>28344</v>
      </c>
      <c r="J23" s="86">
        <v>380000</v>
      </c>
      <c r="K23" s="86"/>
      <c r="L23" s="86"/>
      <c r="M23" s="86"/>
      <c r="N23" s="86"/>
      <c r="O23" s="86"/>
      <c r="P23" s="86"/>
      <c r="Q23" s="86">
        <f t="shared" si="4"/>
        <v>10834744</v>
      </c>
      <c r="R23" s="86">
        <f t="shared" si="5"/>
        <v>1359116.72</v>
      </c>
      <c r="S23" s="413">
        <v>205200</v>
      </c>
      <c r="T23" s="86">
        <f t="shared" si="1"/>
        <v>1564316.72</v>
      </c>
      <c r="U23" s="86">
        <f t="shared" si="2"/>
        <v>12399060.720000001</v>
      </c>
      <c r="V23" s="86"/>
      <c r="W23" s="86">
        <f t="shared" si="3"/>
        <v>12399060.720000001</v>
      </c>
    </row>
    <row r="24" spans="1:27" x14ac:dyDescent="0.3">
      <c r="A24" s="816" t="s">
        <v>3594</v>
      </c>
      <c r="B24" s="817" t="s">
        <v>3606</v>
      </c>
      <c r="C24" s="817" t="s">
        <v>2871</v>
      </c>
      <c r="D24" s="818" t="s">
        <v>4016</v>
      </c>
      <c r="E24" s="735">
        <v>30685914</v>
      </c>
      <c r="F24" s="735"/>
      <c r="G24" s="735"/>
      <c r="H24" s="735">
        <v>480000</v>
      </c>
      <c r="I24" s="735">
        <v>85032</v>
      </c>
      <c r="J24" s="735">
        <v>900000</v>
      </c>
      <c r="K24" s="735"/>
      <c r="L24" s="735"/>
      <c r="M24" s="735"/>
      <c r="N24" s="735"/>
      <c r="O24" s="735"/>
      <c r="P24" s="735"/>
      <c r="Q24" s="86">
        <f t="shared" si="4"/>
        <v>32150946</v>
      </c>
      <c r="R24" s="86">
        <f t="shared" si="5"/>
        <v>4062622.98</v>
      </c>
      <c r="S24" s="413">
        <v>615600</v>
      </c>
      <c r="T24" s="86">
        <f t="shared" si="1"/>
        <v>4678222.9800000004</v>
      </c>
      <c r="U24" s="86">
        <f t="shared" si="2"/>
        <v>36829168.980000004</v>
      </c>
      <c r="V24" s="86"/>
      <c r="W24" s="86">
        <f t="shared" si="3"/>
        <v>36829168.980000004</v>
      </c>
    </row>
    <row r="25" spans="1:27" x14ac:dyDescent="0.3">
      <c r="A25" s="816" t="s">
        <v>3594</v>
      </c>
      <c r="B25" s="817" t="s">
        <v>3606</v>
      </c>
      <c r="C25" s="817" t="s">
        <v>2871</v>
      </c>
      <c r="D25" s="818" t="s">
        <v>4020</v>
      </c>
      <c r="E25" s="735"/>
      <c r="F25" s="735"/>
      <c r="G25" s="735"/>
      <c r="H25" s="735"/>
      <c r="I25" s="735"/>
      <c r="J25" s="735"/>
      <c r="K25" s="735">
        <v>1652000</v>
      </c>
      <c r="L25" s="735"/>
      <c r="M25" s="735"/>
      <c r="N25" s="735"/>
      <c r="O25" s="735"/>
      <c r="P25" s="735"/>
      <c r="Q25" s="86">
        <f t="shared" si="4"/>
        <v>1652000</v>
      </c>
      <c r="R25" s="86">
        <f t="shared" si="5"/>
        <v>193284</v>
      </c>
      <c r="S25" s="413">
        <v>0</v>
      </c>
      <c r="T25" s="86">
        <f t="shared" si="1"/>
        <v>193284</v>
      </c>
      <c r="U25" s="86">
        <f t="shared" si="2"/>
        <v>1845284</v>
      </c>
      <c r="V25" s="86"/>
      <c r="W25" s="86">
        <f t="shared" si="3"/>
        <v>1845284</v>
      </c>
    </row>
    <row r="26" spans="1:27" x14ac:dyDescent="0.3">
      <c r="A26" s="816" t="s">
        <v>1025</v>
      </c>
      <c r="B26" s="817" t="s">
        <v>3613</v>
      </c>
      <c r="C26" s="817" t="s">
        <v>2877</v>
      </c>
      <c r="D26" s="818" t="s">
        <v>4016</v>
      </c>
      <c r="E26" s="735">
        <v>46321371</v>
      </c>
      <c r="F26" s="735"/>
      <c r="G26" s="735">
        <v>1800000</v>
      </c>
      <c r="H26" s="735">
        <v>1680000</v>
      </c>
      <c r="I26" s="735">
        <v>127548</v>
      </c>
      <c r="J26" s="735">
        <v>401000</v>
      </c>
      <c r="K26" s="735"/>
      <c r="L26" s="735"/>
      <c r="M26" s="735"/>
      <c r="N26" s="735"/>
      <c r="O26" s="735"/>
      <c r="P26" s="735"/>
      <c r="Q26" s="86">
        <f t="shared" si="4"/>
        <v>50329919</v>
      </c>
      <c r="R26" s="86">
        <f t="shared" si="5"/>
        <v>6490759.4700000007</v>
      </c>
      <c r="S26" s="413">
        <v>1026000</v>
      </c>
      <c r="T26" s="86">
        <f t="shared" si="1"/>
        <v>7516759.4700000007</v>
      </c>
      <c r="U26" s="86">
        <f t="shared" si="2"/>
        <v>57846678.469999999</v>
      </c>
      <c r="V26" s="86"/>
      <c r="W26" s="86">
        <f t="shared" si="3"/>
        <v>57846678.469999999</v>
      </c>
    </row>
    <row r="27" spans="1:27" s="15" customFormat="1" ht="15" customHeight="1" x14ac:dyDescent="0.3">
      <c r="A27" s="819" t="s">
        <v>3621</v>
      </c>
      <c r="B27" s="820" t="s">
        <v>2640</v>
      </c>
      <c r="C27" s="820" t="s">
        <v>4025</v>
      </c>
      <c r="D27" s="821" t="s">
        <v>4026</v>
      </c>
      <c r="E27" s="413"/>
      <c r="F27" s="413"/>
      <c r="G27" s="413"/>
      <c r="H27" s="744"/>
      <c r="I27" s="413"/>
      <c r="J27" s="413"/>
      <c r="K27" s="413">
        <f>9472155+182838+22679</f>
        <v>9677672</v>
      </c>
      <c r="L27" s="413"/>
      <c r="M27" s="413"/>
      <c r="N27" s="413"/>
      <c r="O27" s="413"/>
      <c r="P27" s="413"/>
      <c r="Q27" s="413">
        <f t="shared" si="4"/>
        <v>9677672</v>
      </c>
      <c r="R27" s="413">
        <f t="shared" si="5"/>
        <v>1132287.6240000001</v>
      </c>
      <c r="S27" s="823">
        <v>0</v>
      </c>
      <c r="T27" s="413">
        <f t="shared" si="1"/>
        <v>1132287.6240000001</v>
      </c>
      <c r="U27" s="413">
        <f t="shared" si="2"/>
        <v>10809959.624</v>
      </c>
      <c r="V27" s="413"/>
      <c r="W27" s="413">
        <f t="shared" si="3"/>
        <v>10809959.624</v>
      </c>
      <c r="Y27" s="822"/>
      <c r="Z27" s="16"/>
      <c r="AA27" s="16"/>
    </row>
    <row r="28" spans="1:27" ht="15" customHeight="1" x14ac:dyDescent="0.3">
      <c r="A28" s="824"/>
      <c r="B28" s="825"/>
      <c r="C28" s="826"/>
      <c r="D28" s="826"/>
      <c r="E28" s="86"/>
      <c r="F28" s="86"/>
      <c r="G28" s="86"/>
      <c r="H28" s="86"/>
      <c r="I28" s="86"/>
      <c r="J28" s="86"/>
      <c r="K28" s="86"/>
      <c r="L28" s="86"/>
      <c r="M28" s="86"/>
      <c r="N28" s="86"/>
      <c r="O28" s="86"/>
      <c r="P28" s="86"/>
      <c r="Q28" s="86"/>
      <c r="R28" s="86"/>
      <c r="S28" s="86"/>
      <c r="T28" s="86"/>
      <c r="U28" s="86"/>
      <c r="V28" s="86"/>
      <c r="W28" s="86"/>
    </row>
    <row r="29" spans="1:27" x14ac:dyDescent="0.3">
      <c r="A29" s="1148" t="s">
        <v>4027</v>
      </c>
      <c r="B29" s="1149"/>
      <c r="C29" s="1150"/>
      <c r="D29" s="827"/>
      <c r="E29" s="828">
        <f>SUM(E30)</f>
        <v>0</v>
      </c>
      <c r="F29" s="828">
        <f t="shared" ref="F29:W29" si="6">SUM(F30)</f>
        <v>0</v>
      </c>
      <c r="G29" s="828">
        <f t="shared" si="6"/>
        <v>0</v>
      </c>
      <c r="H29" s="828">
        <f t="shared" si="6"/>
        <v>0</v>
      </c>
      <c r="I29" s="828">
        <f t="shared" si="6"/>
        <v>0</v>
      </c>
      <c r="J29" s="828">
        <f t="shared" si="6"/>
        <v>0</v>
      </c>
      <c r="K29" s="828">
        <f t="shared" si="6"/>
        <v>0</v>
      </c>
      <c r="L29" s="828">
        <f t="shared" si="6"/>
        <v>0</v>
      </c>
      <c r="M29" s="828">
        <f t="shared" si="6"/>
        <v>0</v>
      </c>
      <c r="N29" s="828">
        <f t="shared" si="6"/>
        <v>0</v>
      </c>
      <c r="O29" s="828">
        <f t="shared" si="6"/>
        <v>0</v>
      </c>
      <c r="P29" s="828">
        <f t="shared" si="6"/>
        <v>0</v>
      </c>
      <c r="Q29" s="828">
        <f t="shared" si="6"/>
        <v>0</v>
      </c>
      <c r="R29" s="828">
        <f t="shared" si="6"/>
        <v>0</v>
      </c>
      <c r="S29" s="828">
        <f t="shared" si="6"/>
        <v>0</v>
      </c>
      <c r="T29" s="828">
        <f t="shared" si="6"/>
        <v>0</v>
      </c>
      <c r="U29" s="828">
        <f t="shared" si="6"/>
        <v>0</v>
      </c>
      <c r="V29" s="828">
        <f t="shared" si="6"/>
        <v>0</v>
      </c>
      <c r="W29" s="828">
        <f t="shared" si="6"/>
        <v>0</v>
      </c>
    </row>
    <row r="30" spans="1:27" ht="15.75" customHeight="1" x14ac:dyDescent="0.3">
      <c r="A30" s="829"/>
      <c r="B30" s="830"/>
      <c r="C30" s="831"/>
      <c r="D30" s="83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86"/>
      <c r="R30" s="86"/>
      <c r="S30" s="86"/>
      <c r="T30" s="86"/>
      <c r="U30" s="86"/>
      <c r="V30" s="86"/>
      <c r="W30" s="86"/>
    </row>
    <row r="31" spans="1:27" ht="15.75" customHeight="1" x14ac:dyDescent="0.3">
      <c r="A31" s="832"/>
      <c r="B31" s="833"/>
      <c r="C31" s="834"/>
      <c r="D31" s="834"/>
      <c r="E31" s="835"/>
      <c r="F31" s="835"/>
      <c r="G31" s="835"/>
      <c r="H31" s="835"/>
      <c r="I31" s="835"/>
      <c r="J31" s="835"/>
      <c r="K31" s="835"/>
      <c r="L31" s="835"/>
      <c r="M31" s="835"/>
      <c r="N31" s="835"/>
      <c r="O31" s="835"/>
      <c r="P31" s="835"/>
      <c r="Q31" s="836"/>
      <c r="R31" s="836"/>
      <c r="S31" s="836"/>
      <c r="T31" s="836"/>
      <c r="U31" s="836"/>
      <c r="V31" s="836"/>
      <c r="W31" s="836"/>
    </row>
    <row r="32" spans="1:27" ht="16.2" thickBot="1" x14ac:dyDescent="0.35">
      <c r="A32" s="1153" t="s">
        <v>4028</v>
      </c>
      <c r="B32" s="1154"/>
      <c r="C32" s="1154"/>
      <c r="D32" s="1155"/>
      <c r="E32" s="828">
        <f>SUM(E33:E36)</f>
        <v>0</v>
      </c>
      <c r="F32" s="828">
        <f t="shared" ref="F32:W32" si="7">SUM(F33:F36)</f>
        <v>0</v>
      </c>
      <c r="G32" s="828">
        <f t="shared" si="7"/>
        <v>0</v>
      </c>
      <c r="H32" s="828">
        <f t="shared" si="7"/>
        <v>0</v>
      </c>
      <c r="I32" s="828">
        <f t="shared" si="7"/>
        <v>0</v>
      </c>
      <c r="J32" s="828">
        <f t="shared" si="7"/>
        <v>0</v>
      </c>
      <c r="K32" s="828">
        <f t="shared" si="7"/>
        <v>0</v>
      </c>
      <c r="L32" s="828">
        <f t="shared" si="7"/>
        <v>0</v>
      </c>
      <c r="M32" s="828">
        <f t="shared" si="7"/>
        <v>0</v>
      </c>
      <c r="N32" s="828">
        <f t="shared" si="7"/>
        <v>0</v>
      </c>
      <c r="O32" s="828">
        <f t="shared" si="7"/>
        <v>0</v>
      </c>
      <c r="P32" s="828">
        <f t="shared" si="7"/>
        <v>0</v>
      </c>
      <c r="Q32" s="837">
        <f t="shared" si="7"/>
        <v>0</v>
      </c>
      <c r="R32" s="837">
        <f t="shared" si="7"/>
        <v>0</v>
      </c>
      <c r="S32" s="837">
        <f t="shared" si="7"/>
        <v>0</v>
      </c>
      <c r="T32" s="837">
        <f t="shared" si="7"/>
        <v>0</v>
      </c>
      <c r="U32" s="837">
        <f t="shared" si="7"/>
        <v>0</v>
      </c>
      <c r="V32" s="837">
        <f t="shared" si="7"/>
        <v>0</v>
      </c>
      <c r="W32" s="837">
        <f t="shared" si="7"/>
        <v>0</v>
      </c>
    </row>
    <row r="33" spans="1:23" x14ac:dyDescent="0.3">
      <c r="A33" s="838" t="s">
        <v>4029</v>
      </c>
      <c r="B33" s="839"/>
      <c r="C33" s="840" t="s">
        <v>4030</v>
      </c>
      <c r="D33" s="840" t="s">
        <v>4031</v>
      </c>
      <c r="E33" s="841"/>
      <c r="F33" s="841"/>
      <c r="G33" s="841"/>
      <c r="H33" s="841"/>
      <c r="I33" s="841"/>
      <c r="J33" s="841"/>
      <c r="K33" s="841"/>
      <c r="L33" s="841"/>
      <c r="M33" s="841"/>
      <c r="N33" s="841"/>
      <c r="O33" s="841"/>
      <c r="P33" s="841"/>
      <c r="Q33" s="815"/>
      <c r="R33" s="815"/>
      <c r="S33" s="815"/>
      <c r="T33" s="815"/>
      <c r="U33" s="815"/>
      <c r="V33" s="815"/>
      <c r="W33" s="815"/>
    </row>
    <row r="34" spans="1:23" x14ac:dyDescent="0.3">
      <c r="A34" s="824" t="s">
        <v>4029</v>
      </c>
      <c r="B34" s="825"/>
      <c r="C34" s="826" t="s">
        <v>4032</v>
      </c>
      <c r="D34" s="826" t="s">
        <v>4033</v>
      </c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86"/>
      <c r="R34" s="86"/>
      <c r="S34" s="86"/>
      <c r="T34" s="86"/>
      <c r="U34" s="86"/>
      <c r="V34" s="86"/>
      <c r="W34" s="86"/>
    </row>
    <row r="35" spans="1:23" x14ac:dyDescent="0.3">
      <c r="A35" s="824" t="s">
        <v>4029</v>
      </c>
      <c r="B35" s="825"/>
      <c r="C35" s="826" t="s">
        <v>4034</v>
      </c>
      <c r="D35" s="826" t="s">
        <v>4031</v>
      </c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86"/>
      <c r="R35" s="86"/>
      <c r="S35" s="86"/>
      <c r="T35" s="86"/>
      <c r="U35" s="86"/>
      <c r="V35" s="86"/>
      <c r="W35" s="86"/>
    </row>
    <row r="36" spans="1:23" ht="16.2" thickBot="1" x14ac:dyDescent="0.35">
      <c r="A36" s="842" t="s">
        <v>4029</v>
      </c>
      <c r="B36" s="843"/>
      <c r="C36" s="844"/>
      <c r="D36" s="844"/>
      <c r="E36" s="845"/>
      <c r="F36" s="845"/>
      <c r="G36" s="845"/>
      <c r="H36" s="845"/>
      <c r="I36" s="845"/>
      <c r="J36" s="845"/>
      <c r="K36" s="845"/>
      <c r="L36" s="845"/>
      <c r="M36" s="845"/>
      <c r="N36" s="845"/>
      <c r="O36" s="845"/>
      <c r="P36" s="845"/>
      <c r="Q36" s="846"/>
      <c r="R36" s="846"/>
      <c r="S36" s="846"/>
      <c r="T36" s="846"/>
      <c r="U36" s="846"/>
      <c r="V36" s="846"/>
      <c r="W36" s="846"/>
    </row>
    <row r="37" spans="1:23" ht="16.2" thickBot="1" x14ac:dyDescent="0.35">
      <c r="A37" s="1156" t="s">
        <v>4035</v>
      </c>
      <c r="B37" s="1157"/>
      <c r="C37" s="1158"/>
      <c r="D37" s="847"/>
      <c r="E37" s="848">
        <f>+E38</f>
        <v>0</v>
      </c>
      <c r="F37" s="848">
        <f t="shared" ref="F37:W37" si="8">+F38</f>
        <v>0</v>
      </c>
      <c r="G37" s="848">
        <f t="shared" si="8"/>
        <v>0</v>
      </c>
      <c r="H37" s="848">
        <f t="shared" si="8"/>
        <v>0</v>
      </c>
      <c r="I37" s="848">
        <f t="shared" si="8"/>
        <v>0</v>
      </c>
      <c r="J37" s="848">
        <f t="shared" si="8"/>
        <v>0</v>
      </c>
      <c r="K37" s="848">
        <f t="shared" si="8"/>
        <v>0</v>
      </c>
      <c r="L37" s="848">
        <f t="shared" si="8"/>
        <v>0</v>
      </c>
      <c r="M37" s="848">
        <f t="shared" si="8"/>
        <v>0</v>
      </c>
      <c r="N37" s="848">
        <f t="shared" si="8"/>
        <v>0</v>
      </c>
      <c r="O37" s="848">
        <f t="shared" si="8"/>
        <v>0</v>
      </c>
      <c r="P37" s="848">
        <f t="shared" si="8"/>
        <v>0</v>
      </c>
      <c r="Q37" s="849">
        <f t="shared" si="8"/>
        <v>0</v>
      </c>
      <c r="R37" s="849">
        <f t="shared" si="8"/>
        <v>0</v>
      </c>
      <c r="S37" s="849">
        <f t="shared" si="8"/>
        <v>0</v>
      </c>
      <c r="T37" s="849">
        <f t="shared" si="8"/>
        <v>0</v>
      </c>
      <c r="U37" s="849">
        <f t="shared" si="8"/>
        <v>0</v>
      </c>
      <c r="V37" s="849">
        <f t="shared" si="8"/>
        <v>0</v>
      </c>
      <c r="W37" s="849">
        <f t="shared" si="8"/>
        <v>0</v>
      </c>
    </row>
    <row r="38" spans="1:23" x14ac:dyDescent="0.3">
      <c r="A38" s="850" t="s">
        <v>4029</v>
      </c>
      <c r="B38" s="851"/>
      <c r="C38" s="852" t="s">
        <v>4036</v>
      </c>
      <c r="D38" s="853" t="s">
        <v>4037</v>
      </c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735"/>
      <c r="R38" s="735"/>
      <c r="S38" s="735"/>
      <c r="T38" s="735"/>
      <c r="U38" s="735"/>
      <c r="V38" s="735"/>
      <c r="W38" s="735"/>
    </row>
    <row r="39" spans="1:23" ht="16.2" thickBot="1" x14ac:dyDescent="0.35">
      <c r="A39" s="854"/>
      <c r="B39" s="855"/>
      <c r="C39" s="856"/>
      <c r="D39" s="853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736"/>
      <c r="R39" s="736"/>
      <c r="S39" s="736"/>
      <c r="T39" s="736"/>
      <c r="U39" s="736"/>
      <c r="V39" s="736"/>
      <c r="W39" s="736"/>
    </row>
    <row r="40" spans="1:23" ht="16.2" thickBot="1" x14ac:dyDescent="0.35">
      <c r="A40" s="857" t="s">
        <v>4038</v>
      </c>
      <c r="B40" s="858"/>
      <c r="C40" s="859"/>
      <c r="D40" s="860"/>
      <c r="E40" s="848">
        <f>SUM(E41:E43)</f>
        <v>0</v>
      </c>
      <c r="F40" s="848">
        <f t="shared" ref="F40:W40" si="9">SUM(F41:F43)</f>
        <v>0</v>
      </c>
      <c r="G40" s="848">
        <f t="shared" si="9"/>
        <v>0</v>
      </c>
      <c r="H40" s="848">
        <f t="shared" si="9"/>
        <v>0</v>
      </c>
      <c r="I40" s="848">
        <f t="shared" si="9"/>
        <v>0</v>
      </c>
      <c r="J40" s="848">
        <f t="shared" si="9"/>
        <v>0</v>
      </c>
      <c r="K40" s="848">
        <f t="shared" si="9"/>
        <v>0</v>
      </c>
      <c r="L40" s="848">
        <f t="shared" si="9"/>
        <v>0</v>
      </c>
      <c r="M40" s="848">
        <f t="shared" si="9"/>
        <v>0</v>
      </c>
      <c r="N40" s="848">
        <f t="shared" si="9"/>
        <v>0</v>
      </c>
      <c r="O40" s="848">
        <f t="shared" si="9"/>
        <v>0</v>
      </c>
      <c r="P40" s="848">
        <f t="shared" si="9"/>
        <v>0</v>
      </c>
      <c r="Q40" s="849">
        <f t="shared" si="9"/>
        <v>0</v>
      </c>
      <c r="R40" s="849">
        <f t="shared" si="9"/>
        <v>0</v>
      </c>
      <c r="S40" s="849">
        <f t="shared" si="9"/>
        <v>0</v>
      </c>
      <c r="T40" s="849">
        <f t="shared" si="9"/>
        <v>0</v>
      </c>
      <c r="U40" s="849">
        <f t="shared" si="9"/>
        <v>0</v>
      </c>
      <c r="V40" s="849">
        <f t="shared" si="9"/>
        <v>0</v>
      </c>
      <c r="W40" s="849">
        <f t="shared" si="9"/>
        <v>0</v>
      </c>
    </row>
    <row r="41" spans="1:23" x14ac:dyDescent="0.3">
      <c r="A41" s="854"/>
      <c r="B41" s="855"/>
      <c r="C41" s="861"/>
      <c r="D41" s="826" t="s">
        <v>4033</v>
      </c>
      <c r="E41" s="62"/>
      <c r="F41" s="62"/>
      <c r="G41" s="62"/>
      <c r="H41" s="62"/>
      <c r="I41" s="62"/>
      <c r="J41" s="62"/>
      <c r="K41" s="62"/>
      <c r="L41" s="62"/>
      <c r="M41" s="62"/>
      <c r="N41" s="62"/>
      <c r="O41" s="62"/>
      <c r="P41" s="62"/>
      <c r="Q41" s="735"/>
      <c r="R41" s="735"/>
      <c r="S41" s="735"/>
      <c r="T41" s="735"/>
      <c r="U41" s="735"/>
      <c r="V41" s="735"/>
      <c r="W41" s="735"/>
    </row>
    <row r="42" spans="1:23" x14ac:dyDescent="0.3">
      <c r="A42" s="854"/>
      <c r="B42" s="855"/>
      <c r="C42" s="861"/>
      <c r="D42" s="826" t="s">
        <v>4033</v>
      </c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86"/>
      <c r="R42" s="86"/>
      <c r="S42" s="86"/>
      <c r="T42" s="86"/>
      <c r="U42" s="86"/>
      <c r="V42" s="86"/>
      <c r="W42" s="86"/>
    </row>
    <row r="43" spans="1:23" x14ac:dyDescent="0.3">
      <c r="A43" s="854"/>
      <c r="B43" s="855"/>
      <c r="C43" s="861"/>
      <c r="D43" s="826" t="s">
        <v>4033</v>
      </c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86"/>
      <c r="R43" s="86"/>
      <c r="S43" s="86"/>
      <c r="T43" s="86"/>
      <c r="U43" s="86"/>
      <c r="V43" s="86"/>
      <c r="W43" s="86"/>
    </row>
    <row r="44" spans="1:23" ht="15.75" customHeight="1" thickBot="1" x14ac:dyDescent="0.35">
      <c r="A44" s="1159" t="s">
        <v>4039</v>
      </c>
      <c r="B44" s="1160"/>
      <c r="C44" s="1161"/>
      <c r="D44" s="862"/>
      <c r="E44" s="863">
        <f t="shared" ref="E44:W44" si="10">+E5+E29+E32+E37+E40</f>
        <v>500775104</v>
      </c>
      <c r="F44" s="863">
        <f t="shared" si="10"/>
        <v>0</v>
      </c>
      <c r="G44" s="863">
        <f t="shared" si="10"/>
        <v>2720000</v>
      </c>
      <c r="H44" s="863">
        <f t="shared" si="10"/>
        <v>6960000</v>
      </c>
      <c r="I44" s="863">
        <f t="shared" si="10"/>
        <v>1303824</v>
      </c>
      <c r="J44" s="863">
        <f t="shared" si="10"/>
        <v>10876600</v>
      </c>
      <c r="K44" s="863">
        <f t="shared" si="10"/>
        <v>17338672</v>
      </c>
      <c r="L44" s="863">
        <f t="shared" si="10"/>
        <v>0</v>
      </c>
      <c r="M44" s="863">
        <f t="shared" si="10"/>
        <v>0</v>
      </c>
      <c r="N44" s="863">
        <f t="shared" si="10"/>
        <v>19842500</v>
      </c>
      <c r="O44" s="863">
        <f t="shared" si="10"/>
        <v>0</v>
      </c>
      <c r="P44" s="863">
        <f t="shared" si="10"/>
        <v>3360000</v>
      </c>
      <c r="Q44" s="863">
        <f t="shared" si="10"/>
        <v>563176700</v>
      </c>
      <c r="R44" s="863">
        <f t="shared" si="10"/>
        <v>71573610.263999999</v>
      </c>
      <c r="S44" s="863">
        <f t="shared" si="10"/>
        <v>10157400</v>
      </c>
      <c r="T44" s="863">
        <f t="shared" si="10"/>
        <v>81731010.263999999</v>
      </c>
      <c r="U44" s="863">
        <f t="shared" si="10"/>
        <v>644907710.26400006</v>
      </c>
      <c r="V44" s="863">
        <f t="shared" si="10"/>
        <v>23305125</v>
      </c>
      <c r="W44" s="863">
        <f t="shared" si="10"/>
        <v>621602585.26400006</v>
      </c>
    </row>
  </sheetData>
  <mergeCells count="25">
    <mergeCell ref="A32:D32"/>
    <mergeCell ref="A37:C37"/>
    <mergeCell ref="A44:C44"/>
    <mergeCell ref="A3:C3"/>
    <mergeCell ref="K3:K4"/>
    <mergeCell ref="L3:L4"/>
    <mergeCell ref="M3:M4"/>
    <mergeCell ref="N3:N4"/>
    <mergeCell ref="A29:C29"/>
    <mergeCell ref="A5:C5"/>
    <mergeCell ref="J3:J4"/>
    <mergeCell ref="E3:E4"/>
    <mergeCell ref="F3:F4"/>
    <mergeCell ref="G3:G4"/>
    <mergeCell ref="H3:H4"/>
    <mergeCell ref="I3:I4"/>
    <mergeCell ref="O3:O4"/>
    <mergeCell ref="P3:P4"/>
    <mergeCell ref="U3:U4"/>
    <mergeCell ref="V3:V4"/>
    <mergeCell ref="W3:W4"/>
    <mergeCell ref="Q3:Q4"/>
    <mergeCell ref="R3:R4"/>
    <mergeCell ref="S3:S4"/>
    <mergeCell ref="T3:T4"/>
  </mergeCells>
  <pageMargins left="0.70866141732283472" right="0.70866141732283472" top="0.74803149606299213" bottom="0.74803149606299213" header="0.31496062992125984" footer="0.31496062992125984"/>
  <pageSetup paperSize="8" scale="6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I16"/>
  <sheetViews>
    <sheetView showGridLines="0" zoomScale="85" zoomScaleNormal="85" workbookViewId="0">
      <selection activeCell="J16" sqref="J16"/>
    </sheetView>
  </sheetViews>
  <sheetFormatPr defaultColWidth="7.77734375" defaultRowHeight="13.2" x14ac:dyDescent="0.25"/>
  <cols>
    <col min="1" max="1" width="7.77734375" style="957"/>
    <col min="2" max="2" width="24.88671875" style="957" customWidth="1"/>
    <col min="3" max="3" width="31" style="957" bestFit="1" customWidth="1"/>
    <col min="4" max="8" width="11.109375" style="957" customWidth="1"/>
    <col min="9" max="9" width="33.88671875" style="957" customWidth="1"/>
    <col min="10" max="16384" width="7.77734375" style="957"/>
  </cols>
  <sheetData>
    <row r="1" spans="1:9" ht="30" customHeight="1" x14ac:dyDescent="0.4">
      <c r="B1" s="956" t="s">
        <v>4049</v>
      </c>
    </row>
    <row r="2" spans="1:9" ht="18.75" customHeight="1" thickBot="1" x14ac:dyDescent="0.3"/>
    <row r="3" spans="1:9" s="99" customFormat="1" ht="56.25" customHeight="1" thickBot="1" x14ac:dyDescent="0.35">
      <c r="A3" s="1165" t="s">
        <v>3211</v>
      </c>
      <c r="B3" s="1166"/>
      <c r="C3" s="1057" t="s">
        <v>3212</v>
      </c>
      <c r="D3" s="958" t="s">
        <v>3213</v>
      </c>
      <c r="E3" s="959" t="s">
        <v>3214</v>
      </c>
      <c r="F3" s="959" t="s">
        <v>3215</v>
      </c>
      <c r="G3" s="959" t="s">
        <v>3216</v>
      </c>
      <c r="H3" s="1058" t="s">
        <v>3217</v>
      </c>
      <c r="I3" s="960" t="s">
        <v>3218</v>
      </c>
    </row>
    <row r="4" spans="1:9" s="961" customFormat="1" ht="96.6" customHeight="1" thickBot="1" x14ac:dyDescent="0.35">
      <c r="A4" s="1059" t="s">
        <v>4050</v>
      </c>
      <c r="B4" s="1060" t="s">
        <v>4044</v>
      </c>
      <c r="C4" s="962" t="s">
        <v>4045</v>
      </c>
      <c r="D4" s="962"/>
      <c r="E4" s="962"/>
      <c r="F4" s="962"/>
      <c r="G4" s="962"/>
      <c r="H4" s="962" t="s">
        <v>4051</v>
      </c>
      <c r="I4" s="1061" t="s">
        <v>4046</v>
      </c>
    </row>
    <row r="5" spans="1:9" s="961" customFormat="1" ht="66.599999999999994" thickBot="1" x14ac:dyDescent="0.35">
      <c r="A5" s="1062" t="s">
        <v>4052</v>
      </c>
      <c r="B5" s="1063" t="s">
        <v>4047</v>
      </c>
      <c r="C5" s="1064" t="s">
        <v>4053</v>
      </c>
      <c r="D5" s="1065"/>
      <c r="E5" s="1065"/>
      <c r="F5" s="1065"/>
      <c r="G5" s="1065"/>
      <c r="H5" s="1065" t="s">
        <v>4051</v>
      </c>
      <c r="I5" s="1066" t="s">
        <v>4054</v>
      </c>
    </row>
    <row r="6" spans="1:9" s="961" customFormat="1" ht="79.8" thickBot="1" x14ac:dyDescent="0.35">
      <c r="A6" s="1062" t="s">
        <v>4055</v>
      </c>
      <c r="B6" s="1063" t="s">
        <v>4056</v>
      </c>
      <c r="C6" s="1067" t="s">
        <v>4057</v>
      </c>
      <c r="D6" s="1065"/>
      <c r="E6" s="1065"/>
      <c r="F6" s="1065"/>
      <c r="G6" s="1065"/>
      <c r="H6" s="1065" t="s">
        <v>4051</v>
      </c>
      <c r="I6" s="1068"/>
    </row>
    <row r="7" spans="1:9" s="961" customFormat="1" ht="53.4" thickBot="1" x14ac:dyDescent="0.35">
      <c r="A7" s="1062" t="s">
        <v>4058</v>
      </c>
      <c r="B7" s="1063" t="s">
        <v>4059</v>
      </c>
      <c r="C7" s="1067" t="s">
        <v>4060</v>
      </c>
      <c r="D7" s="1065"/>
      <c r="E7" s="1065"/>
      <c r="F7" s="1065"/>
      <c r="G7" s="1065"/>
      <c r="H7" s="1065" t="s">
        <v>4051</v>
      </c>
      <c r="I7" s="1068"/>
    </row>
    <row r="8" spans="1:9" s="961" customFormat="1" ht="13.8" thickBot="1" x14ac:dyDescent="0.35">
      <c r="A8" s="1069" t="s">
        <v>4061</v>
      </c>
      <c r="B8" s="1063" t="s">
        <v>4048</v>
      </c>
      <c r="C8" s="1070"/>
      <c r="D8" s="1065"/>
      <c r="E8" s="1065"/>
      <c r="F8" s="1065"/>
      <c r="G8" s="1065"/>
      <c r="H8" s="1065" t="s">
        <v>4051</v>
      </c>
      <c r="I8" s="1066" t="s">
        <v>4062</v>
      </c>
    </row>
    <row r="9" spans="1:9" s="961" customFormat="1" ht="40.200000000000003" thickBot="1" x14ac:dyDescent="0.35">
      <c r="A9" s="1062" t="s">
        <v>4063</v>
      </c>
      <c r="B9" s="1063" t="s">
        <v>4064</v>
      </c>
      <c r="C9" s="1070"/>
      <c r="D9" s="1065"/>
      <c r="E9" s="1065"/>
      <c r="F9" s="1065" t="s">
        <v>4051</v>
      </c>
      <c r="G9" s="1065"/>
      <c r="H9" s="1065"/>
      <c r="I9" s="1066" t="s">
        <v>4065</v>
      </c>
    </row>
    <row r="10" spans="1:9" s="963" customFormat="1" x14ac:dyDescent="0.25"/>
    <row r="11" spans="1:9" s="963" customFormat="1" x14ac:dyDescent="0.25"/>
    <row r="12" spans="1:9" s="963" customFormat="1" ht="25.5" customHeight="1" thickBot="1" x14ac:dyDescent="0.3"/>
    <row r="13" spans="1:9" s="963" customFormat="1" ht="25.5" customHeight="1" x14ac:dyDescent="0.25">
      <c r="B13" s="1132" t="s">
        <v>3219</v>
      </c>
      <c r="C13" s="964" t="s">
        <v>3220</v>
      </c>
      <c r="D13" s="965" t="s">
        <v>4066</v>
      </c>
      <c r="E13" s="966" t="s">
        <v>4067</v>
      </c>
    </row>
    <row r="14" spans="1:9" s="963" customFormat="1" ht="25.5" customHeight="1" x14ac:dyDescent="0.25">
      <c r="B14" s="1167"/>
      <c r="C14" s="967" t="s">
        <v>4068</v>
      </c>
      <c r="D14" s="968" t="s">
        <v>4069</v>
      </c>
      <c r="E14" s="969" t="s">
        <v>4070</v>
      </c>
    </row>
    <row r="15" spans="1:9" s="963" customFormat="1" ht="64.5" customHeight="1" thickBot="1" x14ac:dyDescent="0.3">
      <c r="B15" s="1168"/>
      <c r="C15" s="970" t="s">
        <v>3221</v>
      </c>
      <c r="D15" s="971" t="s">
        <v>4071</v>
      </c>
      <c r="E15" s="972" t="s">
        <v>3222</v>
      </c>
    </row>
    <row r="16" spans="1:9" s="963" customFormat="1" ht="13.8" thickBot="1" x14ac:dyDescent="0.3">
      <c r="B16" s="1056"/>
      <c r="C16" s="1169" t="s">
        <v>3223</v>
      </c>
      <c r="D16" s="1170"/>
      <c r="E16" s="1171"/>
    </row>
  </sheetData>
  <mergeCells count="3">
    <mergeCell ref="A3:B3"/>
    <mergeCell ref="B13:B15"/>
    <mergeCell ref="C16:E16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outlinePr summaryBelow="0"/>
  </sheetPr>
  <dimension ref="A1:O30"/>
  <sheetViews>
    <sheetView showGridLines="0" tabSelected="1" zoomScale="70" zoomScaleNormal="70" workbookViewId="0">
      <pane xSplit="4" ySplit="7" topLeftCell="E8" activePane="bottomRight" state="frozen"/>
      <selection activeCell="D9" sqref="D9"/>
      <selection pane="topRight" activeCell="D9" sqref="D9"/>
      <selection pane="bottomLeft" activeCell="D9" sqref="D9"/>
      <selection pane="bottomRight" activeCell="C9" sqref="C9"/>
    </sheetView>
  </sheetViews>
  <sheetFormatPr defaultColWidth="9.109375" defaultRowHeight="14.4" outlineLevelRow="1" outlineLevelCol="1" x14ac:dyDescent="0.3"/>
  <cols>
    <col min="1" max="1" width="12.44140625" style="271" customWidth="1"/>
    <col min="2" max="2" width="14.33203125" style="271" customWidth="1"/>
    <col min="3" max="3" width="32.109375" style="271" customWidth="1"/>
    <col min="4" max="4" width="14.6640625" style="271" customWidth="1"/>
    <col min="5" max="9" width="13.109375" style="271" customWidth="1"/>
    <col min="10" max="13" width="13.109375" style="271" customWidth="1" outlineLevel="1"/>
    <col min="14" max="14" width="13.109375" style="271" customWidth="1"/>
    <col min="15" max="15" width="15.44140625" style="271" customWidth="1"/>
    <col min="16" max="16" width="9.109375" style="271" customWidth="1"/>
    <col min="17" max="16384" width="9.109375" style="271"/>
  </cols>
  <sheetData>
    <row r="1" spans="1:15" ht="54.75" customHeight="1" x14ac:dyDescent="0.5">
      <c r="A1" s="1172" t="s">
        <v>3636</v>
      </c>
      <c r="B1" s="1172"/>
      <c r="C1" s="1172"/>
      <c r="D1" s="1172"/>
      <c r="E1" s="1172"/>
      <c r="F1" s="1172"/>
      <c r="G1" s="1172"/>
      <c r="H1" s="1172"/>
      <c r="I1" s="1172"/>
      <c r="J1" s="1172"/>
      <c r="K1" s="1172"/>
      <c r="L1" s="1172"/>
      <c r="M1" s="1172"/>
      <c r="N1" s="1172"/>
      <c r="O1" s="1172"/>
    </row>
    <row r="2" spans="1:15" ht="15" thickBot="1" x14ac:dyDescent="0.35">
      <c r="A2" s="270"/>
      <c r="B2" s="270"/>
      <c r="C2" s="270"/>
      <c r="D2" s="270"/>
      <c r="E2" s="270"/>
      <c r="F2" s="270"/>
      <c r="G2" s="270"/>
      <c r="H2" s="270"/>
      <c r="I2" s="270"/>
      <c r="J2" s="270"/>
      <c r="K2" s="270"/>
      <c r="L2" s="270"/>
      <c r="M2" s="270"/>
      <c r="N2" s="270"/>
      <c r="O2" s="270"/>
    </row>
    <row r="3" spans="1:15" s="277" customFormat="1" ht="24" customHeight="1" thickBot="1" x14ac:dyDescent="0.35">
      <c r="A3" s="1173" t="s">
        <v>3168</v>
      </c>
      <c r="B3" s="1174"/>
      <c r="C3" s="1174"/>
      <c r="D3" s="1179" t="s">
        <v>3169</v>
      </c>
      <c r="E3" s="1179" t="s">
        <v>3195</v>
      </c>
      <c r="F3" s="802"/>
      <c r="G3" s="802"/>
      <c r="H3" s="1173" t="s">
        <v>3170</v>
      </c>
      <c r="I3" s="1181" t="s">
        <v>3171</v>
      </c>
      <c r="J3" s="1173" t="s">
        <v>3172</v>
      </c>
      <c r="K3" s="1174"/>
      <c r="L3" s="1174"/>
      <c r="M3" s="1184"/>
      <c r="N3" s="1181" t="s">
        <v>3173</v>
      </c>
      <c r="O3" s="1181" t="s">
        <v>3174</v>
      </c>
    </row>
    <row r="4" spans="1:15" s="277" customFormat="1" ht="47.25" customHeight="1" thickBot="1" x14ac:dyDescent="0.35">
      <c r="A4" s="1175"/>
      <c r="B4" s="1176"/>
      <c r="C4" s="1176"/>
      <c r="D4" s="1180"/>
      <c r="E4" s="1180"/>
      <c r="F4" s="1191" t="s">
        <v>3175</v>
      </c>
      <c r="G4" s="1180" t="s">
        <v>3176</v>
      </c>
      <c r="H4" s="1175"/>
      <c r="I4" s="1182"/>
      <c r="J4" s="1192" t="s">
        <v>3177</v>
      </c>
      <c r="K4" s="1193"/>
      <c r="L4" s="1192" t="s">
        <v>3178</v>
      </c>
      <c r="M4" s="1193"/>
      <c r="N4" s="1182"/>
      <c r="O4" s="1185"/>
    </row>
    <row r="5" spans="1:15" s="277" customFormat="1" ht="51.75" customHeight="1" x14ac:dyDescent="0.3">
      <c r="A5" s="1175"/>
      <c r="B5" s="1176"/>
      <c r="C5" s="1176"/>
      <c r="D5" s="1194" t="s">
        <v>3179</v>
      </c>
      <c r="E5" s="1197" t="s">
        <v>3180</v>
      </c>
      <c r="F5" s="1191"/>
      <c r="G5" s="1180"/>
      <c r="H5" s="1175"/>
      <c r="I5" s="1183"/>
      <c r="J5" s="1187" t="s">
        <v>3181</v>
      </c>
      <c r="K5" s="1189" t="s">
        <v>3182</v>
      </c>
      <c r="L5" s="1187" t="s">
        <v>3181</v>
      </c>
      <c r="M5" s="1189" t="s">
        <v>3182</v>
      </c>
      <c r="N5" s="1182"/>
      <c r="O5" s="1186" t="s">
        <v>3183</v>
      </c>
    </row>
    <row r="6" spans="1:15" s="277" customFormat="1" ht="16.5" customHeight="1" x14ac:dyDescent="0.3">
      <c r="A6" s="1177"/>
      <c r="B6" s="1178"/>
      <c r="C6" s="1178"/>
      <c r="D6" s="1195"/>
      <c r="E6" s="1198"/>
      <c r="F6" s="1191"/>
      <c r="G6" s="1180"/>
      <c r="H6" s="1175"/>
      <c r="I6" s="1183"/>
      <c r="J6" s="1188"/>
      <c r="K6" s="1190"/>
      <c r="L6" s="1188"/>
      <c r="M6" s="1190"/>
      <c r="N6" s="1182"/>
      <c r="O6" s="1185"/>
    </row>
    <row r="7" spans="1:15" s="277" customFormat="1" ht="25.5" customHeight="1" thickBot="1" x14ac:dyDescent="0.35">
      <c r="A7" s="278" t="s">
        <v>3184</v>
      </c>
      <c r="B7" s="279" t="s">
        <v>3185</v>
      </c>
      <c r="C7" s="280" t="s">
        <v>121</v>
      </c>
      <c r="D7" s="1196"/>
      <c r="E7" s="281" t="s">
        <v>39</v>
      </c>
      <c r="F7" s="282" t="s">
        <v>41</v>
      </c>
      <c r="G7" s="283" t="s">
        <v>42</v>
      </c>
      <c r="H7" s="283" t="s">
        <v>43</v>
      </c>
      <c r="I7" s="284" t="s">
        <v>3186</v>
      </c>
      <c r="J7" s="283" t="s">
        <v>3187</v>
      </c>
      <c r="K7" s="285" t="s">
        <v>3188</v>
      </c>
      <c r="L7" s="286" t="s">
        <v>3189</v>
      </c>
      <c r="M7" s="285" t="s">
        <v>3190</v>
      </c>
      <c r="N7" s="284" t="s">
        <v>3191</v>
      </c>
      <c r="O7" s="284" t="s">
        <v>3192</v>
      </c>
    </row>
    <row r="8" spans="1:15" ht="23.25" customHeight="1" thickBot="1" x14ac:dyDescent="0.35">
      <c r="A8" s="272" t="s">
        <v>3193</v>
      </c>
      <c r="D8" s="270"/>
      <c r="E8" s="270"/>
      <c r="F8" s="270"/>
      <c r="G8" s="270"/>
      <c r="H8" s="270"/>
      <c r="I8" s="270"/>
      <c r="J8" s="270"/>
      <c r="K8" s="270"/>
      <c r="L8" s="270"/>
      <c r="M8" s="270"/>
      <c r="N8" s="270"/>
      <c r="O8" s="270"/>
    </row>
    <row r="9" spans="1:15" ht="44.4" customHeight="1" outlineLevel="1" thickBot="1" x14ac:dyDescent="0.35">
      <c r="A9" s="274" t="s">
        <v>4041</v>
      </c>
      <c r="B9" s="275" t="s">
        <v>4042</v>
      </c>
      <c r="C9" s="276" t="s">
        <v>4043</v>
      </c>
      <c r="D9" s="298" t="s">
        <v>4033</v>
      </c>
      <c r="E9" s="287">
        <v>1985779</v>
      </c>
      <c r="F9" s="287">
        <v>0</v>
      </c>
      <c r="G9" s="288">
        <v>0</v>
      </c>
      <c r="H9" s="288">
        <v>0</v>
      </c>
      <c r="I9" s="295">
        <f>+E9+F9+G9+H9</f>
        <v>1985779</v>
      </c>
      <c r="J9" s="289"/>
      <c r="K9" s="290">
        <v>0</v>
      </c>
      <c r="L9" s="289"/>
      <c r="M9" s="290">
        <v>1985779</v>
      </c>
      <c r="N9" s="296">
        <f>SUM(J9:M9)</f>
        <v>1985779</v>
      </c>
      <c r="O9" s="295">
        <f>I9-N9</f>
        <v>0</v>
      </c>
    </row>
    <row r="10" spans="1:15" ht="15" customHeight="1" thickBot="1" x14ac:dyDescent="0.35">
      <c r="A10" s="1199" t="s">
        <v>3194</v>
      </c>
      <c r="B10" s="1200"/>
      <c r="C10" s="1201"/>
      <c r="D10" s="291"/>
      <c r="E10" s="292">
        <f>SUM(E9:E9)</f>
        <v>1985779</v>
      </c>
      <c r="F10" s="292">
        <f>SUM(F9:F9)</f>
        <v>0</v>
      </c>
      <c r="G10" s="292">
        <f>SUM(G9:G9)</f>
        <v>0</v>
      </c>
      <c r="H10" s="292">
        <f>SUM(H9:H9)</f>
        <v>0</v>
      </c>
      <c r="I10" s="297">
        <f t="shared" ref="I10" si="0">+E10+F10+G10+H10</f>
        <v>1985779</v>
      </c>
      <c r="J10" s="293">
        <f t="shared" ref="J10:O10" si="1">SUM(J9:J9)</f>
        <v>0</v>
      </c>
      <c r="K10" s="294">
        <f t="shared" si="1"/>
        <v>0</v>
      </c>
      <c r="L10" s="293">
        <f t="shared" si="1"/>
        <v>0</v>
      </c>
      <c r="M10" s="294">
        <f t="shared" si="1"/>
        <v>1985779</v>
      </c>
      <c r="N10" s="297">
        <f t="shared" si="1"/>
        <v>1985779</v>
      </c>
      <c r="O10" s="297">
        <f t="shared" si="1"/>
        <v>0</v>
      </c>
    </row>
    <row r="11" spans="1:15" x14ac:dyDescent="0.3">
      <c r="D11" s="270"/>
      <c r="E11" s="270"/>
      <c r="F11" s="270"/>
      <c r="G11" s="270"/>
      <c r="H11" s="270"/>
      <c r="I11" s="270"/>
      <c r="J11" s="270"/>
      <c r="K11" s="273"/>
      <c r="L11" s="273"/>
      <c r="M11" s="273"/>
      <c r="N11" s="273"/>
      <c r="O11" s="270"/>
    </row>
    <row r="18" ht="15" customHeight="1" x14ac:dyDescent="0.3"/>
    <row r="20" ht="23.25" customHeight="1" x14ac:dyDescent="0.3"/>
    <row r="30" ht="15.75" customHeight="1" x14ac:dyDescent="0.3"/>
  </sheetData>
  <mergeCells count="21">
    <mergeCell ref="L4:M4"/>
    <mergeCell ref="E3:E4"/>
    <mergeCell ref="D5:D7"/>
    <mergeCell ref="E5:E6"/>
    <mergeCell ref="A10:C10"/>
    <mergeCell ref="A1:O1"/>
    <mergeCell ref="A3:C6"/>
    <mergeCell ref="D3:D4"/>
    <mergeCell ref="H3:H6"/>
    <mergeCell ref="I3:I6"/>
    <mergeCell ref="J3:M3"/>
    <mergeCell ref="N3:N6"/>
    <mergeCell ref="O3:O4"/>
    <mergeCell ref="O5:O6"/>
    <mergeCell ref="J5:J6"/>
    <mergeCell ref="K5:K6"/>
    <mergeCell ref="L5:L6"/>
    <mergeCell ref="M5:M6"/>
    <mergeCell ref="F4:F6"/>
    <mergeCell ref="G4:G6"/>
    <mergeCell ref="J4:K4"/>
  </mergeCells>
  <printOptions horizontalCentered="1"/>
  <pageMargins left="0.51181102362204722" right="0.51181102362204722" top="0.55118110236220474" bottom="0.55118110236220474" header="0.31496062992125984" footer="0.31496062992125984"/>
  <pageSetup paperSize="8" fitToWidth="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outlinePr summaryBelow="0"/>
    <pageSetUpPr fitToPage="1"/>
  </sheetPr>
  <dimension ref="A1:BN557"/>
  <sheetViews>
    <sheetView zoomScale="70" zoomScaleNormal="70" workbookViewId="0">
      <pane xSplit="9" ySplit="3" topLeftCell="J4" activePane="bottomRight" state="frozen"/>
      <selection pane="topRight" activeCell="I1" sqref="I1"/>
      <selection pane="bottomLeft" activeCell="A4" sqref="A4"/>
      <selection pane="bottomRight" activeCell="BK532" sqref="BK532:BM532"/>
    </sheetView>
  </sheetViews>
  <sheetFormatPr defaultColWidth="8.88671875" defaultRowHeight="15.6" outlineLevelRow="3" outlineLevelCol="1" x14ac:dyDescent="0.3"/>
  <cols>
    <col min="1" max="1" width="12.21875" style="159" hidden="1" customWidth="1" outlineLevel="1"/>
    <col min="2" max="2" width="22.33203125" style="159" hidden="1" customWidth="1" outlineLevel="1"/>
    <col min="3" max="3" width="5.77734375" style="159" hidden="1" customWidth="1" outlineLevel="1"/>
    <col min="4" max="4" width="7.77734375" style="159" hidden="1" customWidth="1" outlineLevel="1"/>
    <col min="5" max="5" width="60.109375" style="159" customWidth="1" collapsed="1"/>
    <col min="6" max="6" width="5.109375" style="159" hidden="1" customWidth="1" outlineLevel="1"/>
    <col min="7" max="7" width="5.77734375" style="160" hidden="1" customWidth="1" outlineLevel="1"/>
    <col min="8" max="8" width="15.44140625" style="159" hidden="1" customWidth="1" outlineLevel="1"/>
    <col min="9" max="9" width="15.44140625" style="159" customWidth="1" collapsed="1"/>
    <col min="10" max="10" width="19.77734375" style="159" hidden="1" customWidth="1" outlineLevel="1"/>
    <col min="11" max="11" width="18.44140625" style="159" hidden="1" customWidth="1" outlineLevel="1"/>
    <col min="12" max="12" width="20.44140625" style="159" hidden="1" customWidth="1" outlineLevel="1"/>
    <col min="13" max="13" width="15.44140625" style="162" hidden="1" customWidth="1" outlineLevel="1"/>
    <col min="14" max="28" width="16.88671875" style="159" hidden="1" customWidth="1" outlineLevel="1"/>
    <col min="29" max="29" width="15.44140625" style="159" hidden="1" customWidth="1" outlineLevel="1"/>
    <col min="30" max="30" width="22.77734375" style="159" hidden="1" customWidth="1" outlineLevel="1"/>
    <col min="31" max="31" width="15.44140625" style="159" hidden="1" customWidth="1" outlineLevel="1"/>
    <col min="32" max="32" width="16.44140625" style="159" hidden="1" customWidth="1" outlineLevel="1"/>
    <col min="33" max="34" width="15.44140625" style="159" hidden="1" customWidth="1" outlineLevel="1"/>
    <col min="35" max="35" width="17.44140625" style="159" hidden="1" customWidth="1" outlineLevel="1"/>
    <col min="36" max="37" width="15.44140625" style="159" hidden="1" customWidth="1" outlineLevel="1"/>
    <col min="38" max="40" width="17.77734375" style="159" hidden="1" customWidth="1" outlineLevel="1"/>
    <col min="41" max="41" width="15.21875" style="159" hidden="1" customWidth="1" outlineLevel="1"/>
    <col min="42" max="43" width="14.44140625" style="159" hidden="1" customWidth="1" outlineLevel="1"/>
    <col min="44" max="44" width="15.44140625" style="159" hidden="1" customWidth="1" outlineLevel="1"/>
    <col min="45" max="45" width="15.77734375" style="159" hidden="1" customWidth="1" outlineLevel="1"/>
    <col min="46" max="47" width="12.6640625" style="159" hidden="1" customWidth="1" outlineLevel="1"/>
    <col min="48" max="48" width="13.88671875" style="159" hidden="1" customWidth="1" outlineLevel="1"/>
    <col min="49" max="49" width="14.88671875" style="159" hidden="1" customWidth="1" outlineLevel="1"/>
    <col min="50" max="50" width="14.21875" style="159" hidden="1" customWidth="1" outlineLevel="1"/>
    <col min="51" max="51" width="15.44140625" style="159" hidden="1" customWidth="1" outlineLevel="1"/>
    <col min="52" max="52" width="14.77734375" style="159" hidden="1" customWidth="1" outlineLevel="1"/>
    <col min="53" max="54" width="12.6640625" style="159" hidden="1" customWidth="1" outlineLevel="1"/>
    <col min="55" max="55" width="14.109375" style="159" hidden="1" customWidth="1" outlineLevel="1"/>
    <col min="56" max="56" width="16.109375" style="159" hidden="1" customWidth="1" outlineLevel="1"/>
    <col min="57" max="57" width="14.88671875" style="159" hidden="1" customWidth="1" outlineLevel="1"/>
    <col min="58" max="58" width="12.88671875" style="159" hidden="1" customWidth="1" outlineLevel="1"/>
    <col min="59" max="61" width="16.77734375" style="159" hidden="1" customWidth="1" outlineLevel="1"/>
    <col min="62" max="62" width="16" style="159" hidden="1" customWidth="1" outlineLevel="1"/>
    <col min="63" max="63" width="15.44140625" style="159" customWidth="1" collapsed="1"/>
    <col min="64" max="64" width="15.44140625" style="159" hidden="1" customWidth="1"/>
    <col min="65" max="66" width="15.44140625" style="159" customWidth="1"/>
    <col min="67" max="16384" width="8.88671875" style="159"/>
  </cols>
  <sheetData>
    <row r="1" spans="1:66" s="158" customFormat="1" ht="57.75" customHeight="1" x14ac:dyDescent="0.3">
      <c r="A1" s="151" t="s">
        <v>2733</v>
      </c>
      <c r="B1" s="151" t="s">
        <v>58</v>
      </c>
      <c r="C1" s="151" t="s">
        <v>2727</v>
      </c>
      <c r="D1" s="151" t="s">
        <v>2734</v>
      </c>
      <c r="E1" s="151" t="s">
        <v>2726</v>
      </c>
      <c r="F1" s="151" t="s">
        <v>62</v>
      </c>
      <c r="G1" s="152" t="s">
        <v>59</v>
      </c>
      <c r="H1" s="151" t="s">
        <v>117</v>
      </c>
      <c r="I1" s="322" t="s">
        <v>784</v>
      </c>
      <c r="J1" s="153" t="s">
        <v>2625</v>
      </c>
      <c r="K1" s="153" t="s">
        <v>67</v>
      </c>
      <c r="L1" s="153" t="s">
        <v>2619</v>
      </c>
      <c r="M1" s="153" t="s">
        <v>68</v>
      </c>
      <c r="N1" s="154" t="s">
        <v>2865</v>
      </c>
      <c r="O1" s="154" t="s">
        <v>1086</v>
      </c>
      <c r="P1" s="154" t="s">
        <v>2866</v>
      </c>
      <c r="Q1" s="154" t="s">
        <v>2867</v>
      </c>
      <c r="R1" s="154" t="s">
        <v>2868</v>
      </c>
      <c r="S1" s="154" t="s">
        <v>2869</v>
      </c>
      <c r="T1" s="154" t="s">
        <v>2870</v>
      </c>
      <c r="U1" s="154" t="s">
        <v>2871</v>
      </c>
      <c r="V1" s="154" t="s">
        <v>2875</v>
      </c>
      <c r="W1" s="154" t="s">
        <v>2872</v>
      </c>
      <c r="X1" s="154" t="s">
        <v>2873</v>
      </c>
      <c r="Y1" s="154" t="s">
        <v>2874</v>
      </c>
      <c r="Z1" s="154" t="s">
        <v>2876</v>
      </c>
      <c r="AA1" s="535" t="s">
        <v>2877</v>
      </c>
      <c r="AB1" s="155" t="s">
        <v>3612</v>
      </c>
      <c r="AC1" s="156" t="s">
        <v>3619</v>
      </c>
      <c r="AD1" s="156" t="s">
        <v>3620</v>
      </c>
      <c r="AE1" s="156" t="s">
        <v>821</v>
      </c>
      <c r="AF1" s="156" t="s">
        <v>73</v>
      </c>
      <c r="AG1" s="156" t="s">
        <v>3617</v>
      </c>
      <c r="AH1" s="156" t="s">
        <v>2884</v>
      </c>
      <c r="AI1" s="156" t="s">
        <v>89</v>
      </c>
      <c r="AJ1" s="156" t="s">
        <v>2666</v>
      </c>
      <c r="AK1" s="156" t="s">
        <v>2667</v>
      </c>
      <c r="AL1" s="156" t="s">
        <v>761</v>
      </c>
      <c r="AM1" s="156" t="s">
        <v>3968</v>
      </c>
      <c r="AN1" s="156" t="s">
        <v>3969</v>
      </c>
      <c r="AO1" s="156" t="s">
        <v>3970</v>
      </c>
      <c r="AP1" s="157" t="s">
        <v>99</v>
      </c>
      <c r="AQ1" s="157" t="s">
        <v>3895</v>
      </c>
      <c r="AR1" s="157" t="s">
        <v>2764</v>
      </c>
      <c r="AS1" s="157" t="s">
        <v>2763</v>
      </c>
      <c r="AT1" s="157" t="s">
        <v>96</v>
      </c>
      <c r="AU1" s="157" t="s">
        <v>3586</v>
      </c>
      <c r="AV1" s="157" t="s">
        <v>2616</v>
      </c>
      <c r="AW1" s="157" t="s">
        <v>102</v>
      </c>
      <c r="AX1" s="157" t="s">
        <v>103</v>
      </c>
      <c r="AY1" s="157" t="s">
        <v>106</v>
      </c>
      <c r="AZ1" s="157" t="s">
        <v>107</v>
      </c>
      <c r="BA1" s="157" t="s">
        <v>109</v>
      </c>
      <c r="BB1" s="157" t="s">
        <v>111</v>
      </c>
      <c r="BC1" s="157" t="s">
        <v>764</v>
      </c>
      <c r="BD1" s="157" t="s">
        <v>766</v>
      </c>
      <c r="BE1" s="157" t="s">
        <v>769</v>
      </c>
      <c r="BF1" s="157" t="s">
        <v>770</v>
      </c>
      <c r="BG1" s="157" t="s">
        <v>3971</v>
      </c>
      <c r="BH1" s="157" t="s">
        <v>2881</v>
      </c>
      <c r="BI1" s="157" t="s">
        <v>2912</v>
      </c>
      <c r="BJ1" s="157" t="s">
        <v>2762</v>
      </c>
      <c r="BK1" s="320" t="s">
        <v>2803</v>
      </c>
      <c r="BL1" s="155" t="s">
        <v>3637</v>
      </c>
      <c r="BM1" s="156" t="s">
        <v>755</v>
      </c>
      <c r="BN1" s="321" t="s">
        <v>2804</v>
      </c>
    </row>
    <row r="2" spans="1:66" hidden="1" x14ac:dyDescent="0.3">
      <c r="A2" s="235"/>
      <c r="B2" s="235"/>
      <c r="C2" s="235"/>
      <c r="D2" s="235"/>
      <c r="E2" s="235"/>
      <c r="F2" s="235"/>
      <c r="I2" s="161" t="s">
        <v>2694</v>
      </c>
      <c r="J2" s="161" t="s">
        <v>2710</v>
      </c>
      <c r="N2" s="159" t="s">
        <v>3588</v>
      </c>
      <c r="O2" s="159" t="s">
        <v>1085</v>
      </c>
      <c r="P2" s="159" t="s">
        <v>3589</v>
      </c>
      <c r="Q2" s="159" t="s">
        <v>3590</v>
      </c>
      <c r="R2" s="159" t="s">
        <v>3591</v>
      </c>
      <c r="S2" s="159" t="s">
        <v>3592</v>
      </c>
      <c r="T2" s="159" t="s">
        <v>3593</v>
      </c>
      <c r="U2" s="159" t="s">
        <v>3594</v>
      </c>
      <c r="V2" s="159" t="s">
        <v>3595</v>
      </c>
      <c r="W2" s="159" t="s">
        <v>3432</v>
      </c>
      <c r="X2" s="159" t="s">
        <v>3596</v>
      </c>
      <c r="Y2" s="159" t="s">
        <v>3597</v>
      </c>
      <c r="Z2" s="159" t="s">
        <v>3598</v>
      </c>
      <c r="AA2" s="159" t="s">
        <v>1025</v>
      </c>
      <c r="AB2" s="159" t="s">
        <v>3614</v>
      </c>
      <c r="AC2" s="163" t="s">
        <v>3621</v>
      </c>
      <c r="AD2" s="163" t="s">
        <v>3622</v>
      </c>
      <c r="AE2" s="163" t="s">
        <v>3623</v>
      </c>
      <c r="AF2" s="163" t="s">
        <v>3616</v>
      </c>
      <c r="AG2" s="163" t="s">
        <v>3618</v>
      </c>
      <c r="AH2" s="163"/>
      <c r="AI2" s="163"/>
      <c r="AJ2" s="163"/>
      <c r="AK2" s="163"/>
      <c r="AL2" s="163"/>
      <c r="AM2" s="163" t="s">
        <v>3110</v>
      </c>
      <c r="AN2" s="163" t="s">
        <v>3109</v>
      </c>
      <c r="AO2" s="163" t="s">
        <v>3101</v>
      </c>
      <c r="AP2" s="163" t="s">
        <v>2883</v>
      </c>
      <c r="AQ2" s="159" t="s">
        <v>3896</v>
      </c>
      <c r="AR2" s="163" t="s">
        <v>93</v>
      </c>
      <c r="AS2" s="163" t="s">
        <v>94</v>
      </c>
      <c r="AT2" s="163" t="s">
        <v>95</v>
      </c>
      <c r="AU2" s="163" t="s">
        <v>98</v>
      </c>
      <c r="AV2" s="163" t="s">
        <v>2615</v>
      </c>
      <c r="AW2" s="163" t="s">
        <v>101</v>
      </c>
      <c r="AX2" s="163" t="s">
        <v>100</v>
      </c>
      <c r="AY2" s="163" t="s">
        <v>104</v>
      </c>
      <c r="AZ2" s="163" t="s">
        <v>105</v>
      </c>
      <c r="BA2" s="163" t="s">
        <v>108</v>
      </c>
      <c r="BB2" s="163" t="s">
        <v>110</v>
      </c>
      <c r="BC2" s="163" t="s">
        <v>763</v>
      </c>
      <c r="BD2" s="163" t="s">
        <v>765</v>
      </c>
      <c r="BE2" s="163" t="s">
        <v>767</v>
      </c>
      <c r="BF2" s="163" t="s">
        <v>768</v>
      </c>
      <c r="BG2" s="163"/>
      <c r="BH2" s="163" t="s">
        <v>2882</v>
      </c>
      <c r="BI2" s="163" t="s">
        <v>2913</v>
      </c>
      <c r="BJ2" s="246" t="s">
        <v>3638</v>
      </c>
    </row>
    <row r="3" spans="1:66" hidden="1" collapsed="1" x14ac:dyDescent="0.3">
      <c r="G3" s="159"/>
      <c r="N3" s="159" t="s">
        <v>3599</v>
      </c>
      <c r="O3" s="159" t="s">
        <v>3600</v>
      </c>
      <c r="P3" s="159" t="s">
        <v>3601</v>
      </c>
      <c r="Q3" s="159" t="s">
        <v>3602</v>
      </c>
      <c r="R3" s="159" t="s">
        <v>3603</v>
      </c>
      <c r="S3" s="159" t="s">
        <v>3604</v>
      </c>
      <c r="T3" s="159" t="s">
        <v>3605</v>
      </c>
      <c r="U3" s="159" t="s">
        <v>3606</v>
      </c>
      <c r="V3" s="159" t="s">
        <v>3607</v>
      </c>
      <c r="W3" s="159" t="s">
        <v>3608</v>
      </c>
      <c r="X3" s="159" t="s">
        <v>3609</v>
      </c>
      <c r="Y3" s="159" t="s">
        <v>3610</v>
      </c>
      <c r="Z3" s="159" t="s">
        <v>3611</v>
      </c>
      <c r="AA3" s="159" t="s">
        <v>3613</v>
      </c>
      <c r="AB3" s="159" t="s">
        <v>3615</v>
      </c>
      <c r="AC3" s="163" t="s">
        <v>2640</v>
      </c>
      <c r="AD3" s="163" t="s">
        <v>2640</v>
      </c>
      <c r="AE3" s="163" t="s">
        <v>3615</v>
      </c>
      <c r="AF3" s="163" t="s">
        <v>2640</v>
      </c>
      <c r="AG3" s="163" t="s">
        <v>2640</v>
      </c>
      <c r="AH3" s="163" t="s">
        <v>2640</v>
      </c>
      <c r="AI3" s="163" t="s">
        <v>2640</v>
      </c>
      <c r="AJ3" s="163" t="s">
        <v>2640</v>
      </c>
      <c r="AK3" s="163" t="s">
        <v>2640</v>
      </c>
      <c r="AL3" s="163" t="s">
        <v>2640</v>
      </c>
      <c r="AM3" s="163" t="s">
        <v>2640</v>
      </c>
      <c r="AN3" s="163" t="s">
        <v>2640</v>
      </c>
      <c r="AO3" s="163" t="s">
        <v>2640</v>
      </c>
      <c r="AP3" s="163" t="s">
        <v>2640</v>
      </c>
      <c r="AQ3" s="163" t="s">
        <v>2640</v>
      </c>
      <c r="AR3" s="163" t="s">
        <v>2640</v>
      </c>
      <c r="AS3" s="163" t="s">
        <v>2640</v>
      </c>
      <c r="AT3" s="163" t="s">
        <v>2640</v>
      </c>
      <c r="AU3" s="163" t="s">
        <v>2640</v>
      </c>
      <c r="AV3" s="163" t="s">
        <v>2640</v>
      </c>
      <c r="AW3" s="163" t="s">
        <v>2640</v>
      </c>
      <c r="AX3" s="163" t="s">
        <v>2640</v>
      </c>
      <c r="AY3" s="163" t="s">
        <v>2640</v>
      </c>
      <c r="AZ3" s="163" t="s">
        <v>2640</v>
      </c>
      <c r="BA3" s="163" t="s">
        <v>2640</v>
      </c>
      <c r="BB3" s="163" t="s">
        <v>2640</v>
      </c>
      <c r="BC3" s="163" t="s">
        <v>2640</v>
      </c>
      <c r="BD3" s="163" t="s">
        <v>2640</v>
      </c>
      <c r="BE3" s="163" t="s">
        <v>2640</v>
      </c>
      <c r="BF3" s="163" t="s">
        <v>2640</v>
      </c>
      <c r="BG3" s="163"/>
      <c r="BH3" s="163" t="s">
        <v>2640</v>
      </c>
      <c r="BI3" s="163" t="s">
        <v>2640</v>
      </c>
      <c r="BJ3" s="163" t="s">
        <v>2640</v>
      </c>
    </row>
    <row r="4" spans="1:66" s="168" customFormat="1" ht="57.75" hidden="1" customHeight="1" outlineLevel="1" collapsed="1" x14ac:dyDescent="0.3">
      <c r="A4" s="164">
        <v>2</v>
      </c>
      <c r="B4" s="164" t="s">
        <v>16</v>
      </c>
      <c r="C4" s="164" t="s">
        <v>63</v>
      </c>
      <c r="D4" s="164"/>
      <c r="E4" s="164" t="str">
        <f>VLOOKUP(A4,'Bevétel 2a SZH 2023'!B:C,2,0)</f>
        <v>Támogatás allokáció célszervezetre (2019. évi felosztási logika)</v>
      </c>
      <c r="F4" s="164" t="s">
        <v>2696</v>
      </c>
      <c r="G4" s="164"/>
      <c r="H4" s="164" t="s">
        <v>2617</v>
      </c>
      <c r="I4" s="165">
        <f>IFERROR(VLOOKUP($A4,'Bevétel 2a SZH 2023'!$B:$L,MATCH($I$1,'Bevétel 2a SZH 2023'!$B$1:$L$1,0),0), )</f>
        <v>373331758</v>
      </c>
      <c r="J4" s="165">
        <f t="shared" ref="J4:J35" si="0">SUM(N4:AO4)</f>
        <v>373331757.81012022</v>
      </c>
      <c r="K4" s="150">
        <f>+I4-J4</f>
        <v>0.18987977504730225</v>
      </c>
      <c r="L4" s="150">
        <f t="shared" ref="L4:L35" si="1">SUM(N4:BJ4)</f>
        <v>373331757.81012022</v>
      </c>
      <c r="M4" s="166"/>
      <c r="N4" s="165">
        <f>SUM(N7:N10)</f>
        <v>97510865.560839713</v>
      </c>
      <c r="O4" s="165">
        <f>SUM(O7:O10)</f>
        <v>15670133.047280721</v>
      </c>
      <c r="P4" s="165">
        <f t="shared" ref="P4:Y4" si="2">SUM(P7:P10)</f>
        <v>2682970.038435569</v>
      </c>
      <c r="Q4" s="165">
        <f t="shared" si="2"/>
        <v>23497848.324401826</v>
      </c>
      <c r="R4" s="165">
        <f t="shared" si="2"/>
        <v>6514115.3525451608</v>
      </c>
      <c r="S4" s="165">
        <f t="shared" si="2"/>
        <v>32992407.970712714</v>
      </c>
      <c r="T4" s="165">
        <f t="shared" si="2"/>
        <v>17889605.956597392</v>
      </c>
      <c r="U4" s="165">
        <f t="shared" si="2"/>
        <v>32092403.908097994</v>
      </c>
      <c r="V4" s="165">
        <f t="shared" si="2"/>
        <v>38335851.550409704</v>
      </c>
      <c r="W4" s="165">
        <f t="shared" si="2"/>
        <v>23927299.492150623</v>
      </c>
      <c r="X4" s="165">
        <f t="shared" si="2"/>
        <v>2615316.0762326214</v>
      </c>
      <c r="Y4" s="165">
        <f t="shared" si="2"/>
        <v>68182457.749455661</v>
      </c>
      <c r="Z4" s="165">
        <f>SUM(Z7:Z10)</f>
        <v>11420482.782960525</v>
      </c>
      <c r="AA4" s="165">
        <f>SUM(AA7:AA10)</f>
        <v>0</v>
      </c>
      <c r="AB4" s="165">
        <f>SUM(AB7:AB10)</f>
        <v>0</v>
      </c>
      <c r="AC4" s="165">
        <f>SUM(AC7:AC10)</f>
        <v>0</v>
      </c>
      <c r="AD4" s="165"/>
      <c r="AE4" s="165"/>
      <c r="AF4" s="165"/>
      <c r="AG4" s="165"/>
      <c r="AH4" s="165"/>
      <c r="AI4" s="165"/>
      <c r="AJ4" s="165"/>
      <c r="AK4" s="165"/>
      <c r="AL4" s="165"/>
      <c r="AM4" s="165"/>
      <c r="AN4" s="165"/>
      <c r="AO4" s="165"/>
      <c r="AP4" s="165"/>
      <c r="AQ4" s="165"/>
      <c r="AR4" s="165"/>
      <c r="AS4" s="165"/>
      <c r="AT4" s="165"/>
      <c r="AU4" s="165"/>
      <c r="AV4" s="165"/>
      <c r="AW4" s="165"/>
      <c r="AX4" s="165"/>
      <c r="AY4" s="165"/>
      <c r="AZ4" s="165"/>
      <c r="BA4" s="165"/>
      <c r="BB4" s="165"/>
      <c r="BC4" s="165"/>
      <c r="BD4" s="165"/>
      <c r="BE4" s="165"/>
      <c r="BF4" s="165"/>
      <c r="BG4" s="165"/>
      <c r="BH4" s="165"/>
      <c r="BI4" s="165"/>
      <c r="BJ4" s="165"/>
      <c r="BK4" s="167">
        <f t="shared" ref="BK4:BK35" si="3">+SUM(N4:AA4)</f>
        <v>373331757.81012022</v>
      </c>
      <c r="BL4" s="167">
        <f t="shared" ref="BL4:BL35" si="4">+AB4</f>
        <v>0</v>
      </c>
      <c r="BM4" s="167">
        <f t="shared" ref="BM4:BM35" si="5">+SUM(AC4:AO4)</f>
        <v>0</v>
      </c>
      <c r="BN4" s="167">
        <f t="shared" ref="BN4:BN35" si="6">+SUM(AP4:BJ4)</f>
        <v>0</v>
      </c>
    </row>
    <row r="5" spans="1:66" s="171" customFormat="1" hidden="1" outlineLevel="2" x14ac:dyDescent="0.3">
      <c r="A5" s="169"/>
      <c r="B5" s="186" t="s">
        <v>2861</v>
      </c>
      <c r="C5" s="186" t="s">
        <v>63</v>
      </c>
      <c r="D5" s="186" t="s">
        <v>2857</v>
      </c>
      <c r="E5" s="186" t="s">
        <v>714</v>
      </c>
      <c r="F5" s="183" t="s">
        <v>2697</v>
      </c>
      <c r="G5" s="186">
        <v>320</v>
      </c>
      <c r="H5" s="186" t="s">
        <v>655</v>
      </c>
      <c r="I5" s="242">
        <f>VLOOKUP($I$1,'3.a'!B:V,3,0)*'3.a'!$H$2</f>
        <v>553682093.97319067</v>
      </c>
      <c r="J5" s="150">
        <f t="shared" si="0"/>
        <v>553682093.97319067</v>
      </c>
      <c r="K5" s="150">
        <f>+I5-J5</f>
        <v>0</v>
      </c>
      <c r="L5" s="150">
        <f t="shared" si="1"/>
        <v>553682093.97319067</v>
      </c>
      <c r="M5" s="166"/>
      <c r="N5" s="150"/>
      <c r="O5" s="150"/>
      <c r="P5" s="150"/>
      <c r="Q5" s="150"/>
      <c r="R5" s="150"/>
      <c r="S5" s="150"/>
      <c r="T5" s="150"/>
      <c r="U5" s="150"/>
      <c r="V5" s="150"/>
      <c r="W5" s="150"/>
      <c r="X5" s="150"/>
      <c r="Y5" s="150"/>
      <c r="Z5" s="150"/>
      <c r="AA5" s="150"/>
      <c r="AB5" s="150"/>
      <c r="AC5" s="150"/>
      <c r="AD5" s="150"/>
      <c r="AE5" s="150"/>
      <c r="AF5" s="150"/>
      <c r="AG5" s="150"/>
      <c r="AH5" s="150"/>
      <c r="AI5" s="150"/>
      <c r="AJ5" s="150"/>
      <c r="AK5" s="150"/>
      <c r="AL5" s="150">
        <f>+I5</f>
        <v>553682093.97319067</v>
      </c>
      <c r="AM5" s="150"/>
      <c r="AN5" s="150"/>
      <c r="AO5" s="150"/>
      <c r="AP5" s="150"/>
      <c r="AQ5" s="150"/>
      <c r="AR5" s="150"/>
      <c r="AS5" s="150"/>
      <c r="AT5" s="150"/>
      <c r="AU5" s="150"/>
      <c r="AV5" s="150"/>
      <c r="AW5" s="150"/>
      <c r="AX5" s="150"/>
      <c r="AY5" s="150"/>
      <c r="AZ5" s="150"/>
      <c r="BA5" s="150"/>
      <c r="BB5" s="150"/>
      <c r="BC5" s="170"/>
      <c r="BD5" s="170"/>
      <c r="BE5" s="170"/>
      <c r="BF5" s="170"/>
      <c r="BG5" s="170"/>
      <c r="BH5" s="170"/>
      <c r="BI5" s="170"/>
      <c r="BJ5" s="170"/>
      <c r="BK5" s="167">
        <f t="shared" si="3"/>
        <v>0</v>
      </c>
      <c r="BL5" s="167">
        <f t="shared" si="4"/>
        <v>0</v>
      </c>
      <c r="BM5" s="167">
        <f t="shared" si="5"/>
        <v>553682093.97319067</v>
      </c>
      <c r="BN5" s="167">
        <f t="shared" si="6"/>
        <v>0</v>
      </c>
    </row>
    <row r="6" spans="1:66" s="171" customFormat="1" hidden="1" outlineLevel="2" x14ac:dyDescent="0.3">
      <c r="A6" s="169"/>
      <c r="B6" s="186" t="s">
        <v>762</v>
      </c>
      <c r="C6" s="186" t="s">
        <v>63</v>
      </c>
      <c r="D6" s="186" t="s">
        <v>2857</v>
      </c>
      <c r="E6" s="186" t="s">
        <v>762</v>
      </c>
      <c r="F6" s="183" t="s">
        <v>2697</v>
      </c>
      <c r="G6" s="186">
        <v>343</v>
      </c>
      <c r="H6" s="186" t="s">
        <v>696</v>
      </c>
      <c r="I6" s="242">
        <f>-VLOOKUP($I$1,'3.a'!B:V,4,0)*'3.a'!$H$2</f>
        <v>-191715083.87766045</v>
      </c>
      <c r="J6" s="150">
        <f t="shared" si="0"/>
        <v>-191715083.87766045</v>
      </c>
      <c r="K6" s="150">
        <f t="shared" ref="K6:K10" si="7">+I6-J6</f>
        <v>0</v>
      </c>
      <c r="L6" s="150">
        <f t="shared" si="1"/>
        <v>0</v>
      </c>
      <c r="M6" s="166"/>
      <c r="N6" s="150"/>
      <c r="O6" s="150"/>
      <c r="P6" s="150"/>
      <c r="Q6" s="150"/>
      <c r="R6" s="150"/>
      <c r="S6" s="150"/>
      <c r="T6" s="150"/>
      <c r="U6" s="150"/>
      <c r="V6" s="150"/>
      <c r="W6" s="150"/>
      <c r="X6" s="150"/>
      <c r="Y6" s="150"/>
      <c r="Z6" s="150"/>
      <c r="AA6" s="150"/>
      <c r="AB6" s="150"/>
      <c r="AC6" s="150"/>
      <c r="AD6" s="150"/>
      <c r="AE6" s="150"/>
      <c r="AF6" s="150"/>
      <c r="AG6" s="150"/>
      <c r="AH6" s="150"/>
      <c r="AI6" s="150"/>
      <c r="AJ6" s="150"/>
      <c r="AK6" s="150"/>
      <c r="AL6" s="150">
        <f>I6</f>
        <v>-191715083.87766045</v>
      </c>
      <c r="AM6" s="150"/>
      <c r="AN6" s="150"/>
      <c r="AO6" s="150"/>
      <c r="AP6" s="150"/>
      <c r="AQ6" s="150"/>
      <c r="AR6" s="150"/>
      <c r="AS6" s="150"/>
      <c r="AT6" s="150"/>
      <c r="AU6" s="150"/>
      <c r="AV6" s="150"/>
      <c r="AW6" s="150"/>
      <c r="AX6" s="150"/>
      <c r="AY6" s="150"/>
      <c r="AZ6" s="150"/>
      <c r="BA6" s="150"/>
      <c r="BB6" s="150"/>
      <c r="BC6" s="172"/>
      <c r="BD6" s="170">
        <f>-I6</f>
        <v>191715083.87766045</v>
      </c>
      <c r="BE6" s="170"/>
      <c r="BF6" s="170"/>
      <c r="BG6" s="170"/>
      <c r="BH6" s="170"/>
      <c r="BI6" s="170"/>
      <c r="BJ6" s="170"/>
      <c r="BK6" s="167">
        <f t="shared" si="3"/>
        <v>0</v>
      </c>
      <c r="BL6" s="167">
        <f t="shared" si="4"/>
        <v>0</v>
      </c>
      <c r="BM6" s="167">
        <f t="shared" si="5"/>
        <v>-191715083.87766045</v>
      </c>
      <c r="BN6" s="167">
        <f t="shared" si="6"/>
        <v>191715083.87766045</v>
      </c>
    </row>
    <row r="7" spans="1:66" s="171" customFormat="1" hidden="1" outlineLevel="2" x14ac:dyDescent="0.3">
      <c r="A7" s="169"/>
      <c r="B7" s="186" t="s">
        <v>2855</v>
      </c>
      <c r="C7" s="186" t="s">
        <v>63</v>
      </c>
      <c r="D7" s="186"/>
      <c r="E7" s="186" t="s">
        <v>2573</v>
      </c>
      <c r="F7" s="183" t="s">
        <v>63</v>
      </c>
      <c r="G7" s="186">
        <v>333</v>
      </c>
      <c r="H7" s="186" t="s">
        <v>680</v>
      </c>
      <c r="I7" s="242">
        <f>+I5+I6</f>
        <v>361967010.09553021</v>
      </c>
      <c r="J7" s="150">
        <f t="shared" si="0"/>
        <v>-8.9406967163085938E-7</v>
      </c>
      <c r="K7" s="150">
        <f>+I7-J7</f>
        <v>361967010.09553111</v>
      </c>
      <c r="L7" s="150">
        <f t="shared" si="1"/>
        <v>-8.9406967163085938E-7</v>
      </c>
      <c r="M7" s="173" t="s">
        <v>1340</v>
      </c>
      <c r="N7" s="150">
        <f>IFERROR(VLOOKUP(N$1,'22.b2'!$D:$H,3,0),0)*'3.a'!$H$2</f>
        <v>78430847.476149932</v>
      </c>
      <c r="O7" s="150">
        <f>IFERROR(VLOOKUP(O$1,'22.b2'!$D:$H,3,0),0)*'3.a'!$H$2</f>
        <v>11095747.145699525</v>
      </c>
      <c r="P7" s="150">
        <f>IFERROR(VLOOKUP(P$1,'22.b2'!$D:$H,3,0),0)*'3.a'!$H$2</f>
        <v>1818263.1375536136</v>
      </c>
      <c r="Q7" s="150">
        <f>IFERROR(VLOOKUP(Q$1,'22.b2'!$D:$H,3,0),0)*'3.a'!$H$2</f>
        <v>15419891.047735991</v>
      </c>
      <c r="R7" s="150">
        <f>IFERROR(VLOOKUP(R$1,'22.b2'!$D:$H,3,0),0)*'3.a'!$H$2</f>
        <v>2876751.6463907445</v>
      </c>
      <c r="S7" s="150">
        <f>IFERROR(VLOOKUP(S$1,'22.b2'!$D:$H,3,0),0)*'3.a'!$H$2</f>
        <v>26932576.007376436</v>
      </c>
      <c r="T7" s="150">
        <f>IFERROR(VLOOKUP(T$1,'22.b2'!$D:$H,3,0),0)*'3.a'!$H$2</f>
        <v>12065869.42589304</v>
      </c>
      <c r="U7" s="150">
        <f>IFERROR(VLOOKUP(U$1,'22.b2'!$D:$H,3,0),0)*'3.a'!$H$2</f>
        <v>18344201.647408683</v>
      </c>
      <c r="V7" s="150">
        <f>IFERROR(VLOOKUP(V$1,'22.b2'!$D:$H,3,0),0)*'3.a'!$H$2</f>
        <v>33358624.127466518</v>
      </c>
      <c r="W7" s="150">
        <f>IFERROR(VLOOKUP(W$1,'22.b2'!$D:$H,3,0),0)*'3.a'!$H$2</f>
        <v>19241749.531416051</v>
      </c>
      <c r="X7" s="150">
        <f>IFERROR(VLOOKUP(X$1,'22.b2'!$D:$H,3,0),0)*'3.a'!$H$2</f>
        <v>1817505.3408855549</v>
      </c>
      <c r="Y7" s="150">
        <f>IFERROR(VLOOKUP(Y$1,'22.b2'!$D:$H,3,0),0)*'3.a'!$H$2</f>
        <v>48061545.425120041</v>
      </c>
      <c r="Z7" s="150">
        <f>IFERROR(VLOOKUP(Z$1,'22.b2'!$D:$H,3,0),0)*'3.a'!$H$2</f>
        <v>8109421.3417868251</v>
      </c>
      <c r="AA7" s="150">
        <f>IFERROR(VLOOKUP(AA$1,'22.b2'!$D:$H,3,0),0)*'3.a'!$H$2</f>
        <v>0</v>
      </c>
      <c r="AB7" s="150"/>
      <c r="AC7" s="150">
        <f>VLOOKUP($I$1,'22.b2'!$C:$H,4,0)*'3.a'!$H$2</f>
        <v>84394016.794646353</v>
      </c>
      <c r="AD7" s="150"/>
      <c r="AE7" s="150"/>
      <c r="AF7" s="150"/>
      <c r="AG7" s="150"/>
      <c r="AH7" s="150"/>
      <c r="AI7" s="150"/>
      <c r="AJ7" s="150"/>
      <c r="AK7" s="150"/>
      <c r="AL7" s="150">
        <f>-I7</f>
        <v>-361967010.09553021</v>
      </c>
      <c r="AM7" s="150"/>
      <c r="AN7" s="150"/>
      <c r="AO7" s="150"/>
      <c r="AP7" s="174"/>
      <c r="AQ7" s="174"/>
      <c r="AR7" s="174"/>
      <c r="AS7" s="174"/>
      <c r="AT7" s="174"/>
      <c r="AU7" s="174"/>
      <c r="AV7" s="174"/>
      <c r="AW7" s="174"/>
      <c r="AX7" s="174"/>
      <c r="AY7" s="174"/>
      <c r="AZ7" s="174"/>
      <c r="BA7" s="174"/>
      <c r="BB7" s="174"/>
      <c r="BC7" s="172"/>
      <c r="BD7" s="170"/>
      <c r="BE7" s="170"/>
      <c r="BF7" s="170"/>
      <c r="BG7" s="170"/>
      <c r="BH7" s="170"/>
      <c r="BI7" s="170"/>
      <c r="BJ7" s="170"/>
      <c r="BK7" s="167">
        <f t="shared" si="3"/>
        <v>277572993.300883</v>
      </c>
      <c r="BL7" s="167">
        <f t="shared" ref="BL7:BL15" si="8">+AC7</f>
        <v>84394016.794646353</v>
      </c>
      <c r="BM7" s="167">
        <f t="shared" ref="BM7:BM15" si="9">+SUM(AC7:AO7)</f>
        <v>-277572993.30088389</v>
      </c>
      <c r="BN7" s="167">
        <f t="shared" si="6"/>
        <v>0</v>
      </c>
    </row>
    <row r="8" spans="1:66" s="171" customFormat="1" hidden="1" outlineLevel="2" x14ac:dyDescent="0.3">
      <c r="A8" s="169"/>
      <c r="B8" s="186" t="s">
        <v>2855</v>
      </c>
      <c r="C8" s="186" t="s">
        <v>63</v>
      </c>
      <c r="D8" s="186"/>
      <c r="E8" s="186" t="s">
        <v>1342</v>
      </c>
      <c r="F8" s="183" t="s">
        <v>63</v>
      </c>
      <c r="G8" s="186">
        <v>333</v>
      </c>
      <c r="H8" s="186" t="s">
        <v>680</v>
      </c>
      <c r="I8" s="242">
        <v>0</v>
      </c>
      <c r="J8" s="150">
        <f t="shared" si="0"/>
        <v>0</v>
      </c>
      <c r="K8" s="150">
        <f t="shared" si="7"/>
        <v>0</v>
      </c>
      <c r="L8" s="150">
        <f t="shared" si="1"/>
        <v>0</v>
      </c>
      <c r="M8" s="175">
        <v>3</v>
      </c>
      <c r="N8" s="150">
        <f>IFERROR(VLOOKUP($M8,'1 b felosztások'!$A:$AE,'1 b felosztások'!C$2,0)*-$AC8,0)</f>
        <v>18866239.249315139</v>
      </c>
      <c r="O8" s="150">
        <f>IFERROR(VLOOKUP($M8,'1 b felosztások'!$A:$AE,'1 b felosztások'!D$2,0)*-$AC8,0)</f>
        <v>4320512.8051866731</v>
      </c>
      <c r="P8" s="150">
        <f>IFERROR(VLOOKUP($M8,'1 b felosztások'!$A:$AE,'1 b felosztások'!E$2,0)*-$AC8,0)</f>
        <v>864102.56103733461</v>
      </c>
      <c r="Q8" s="150">
        <f>IFERROR(VLOOKUP($M8,'1 b felosztások'!$A:$AE,'1 b felosztások'!F$2,0)*-$AC8,0)</f>
        <v>5904700.8337551206</v>
      </c>
      <c r="R8" s="150">
        <f>IFERROR(VLOOKUP($M8,'1 b felosztások'!$A:$AE,'1 b felosztások'!G$2,0)*-$AC8,0)</f>
        <v>2160256.4025933365</v>
      </c>
      <c r="S8" s="150">
        <f>IFERROR(VLOOKUP($M8,'1 b felosztások'!$A:$AE,'1 b felosztások'!H$2,0)*-$AC8,0)</f>
        <v>5760683.740248898</v>
      </c>
      <c r="T8" s="150">
        <f>IFERROR(VLOOKUP($M8,'1 b felosztások'!$A:$AE,'1 b felosztások'!I$2,0)*-$AC8,0)</f>
        <v>5760683.740248898</v>
      </c>
      <c r="U8" s="150">
        <f>IFERROR(VLOOKUP($M8,'1 b felosztások'!$A:$AE,'1 b felosztások'!J$2,0)*-$AC8,0)</f>
        <v>8208974.3298546793</v>
      </c>
      <c r="V8" s="150">
        <f>IFERROR(VLOOKUP($M8,'1 b felosztások'!$A:$AE,'1 b felosztások'!K$2,0)*-$AC8,0)</f>
        <v>4752564.0857053408</v>
      </c>
      <c r="W8" s="150">
        <f>IFERROR(VLOOKUP($M8,'1 b felosztások'!$A:$AE,'1 b felosztások'!L$2,0)*-$AC8,0)</f>
        <v>4608546.9921991182</v>
      </c>
      <c r="X8" s="150">
        <f>IFERROR(VLOOKUP($M8,'1 b felosztások'!$A:$AE,'1 b felosztások'!M$2,0)*-$AC8,0)</f>
        <v>576068.37402488978</v>
      </c>
      <c r="Y8" s="150">
        <f>IFERROR(VLOOKUP($M8,'1 b felosztások'!$A:$AE,'1 b felosztások'!N$2,0)*-$AC8,0)</f>
        <v>20018375.99736492</v>
      </c>
      <c r="Z8" s="150">
        <f>IFERROR(VLOOKUP($M8,'1 b felosztások'!$A:$AE,'1 b felosztások'!O$2,0)*-$AC8,0)</f>
        <v>2592307.6831120038</v>
      </c>
      <c r="AA8" s="150">
        <f>IFERROR(VLOOKUP($M8,'1 b felosztások'!$A:$AE,'1 b felosztások'!P$2,0)*-$AC8,0)</f>
        <v>0</v>
      </c>
      <c r="AB8" s="150"/>
      <c r="AC8" s="176">
        <f>-AC7</f>
        <v>-84394016.794646353</v>
      </c>
      <c r="AD8" s="150"/>
      <c r="AE8" s="150"/>
      <c r="AF8" s="150"/>
      <c r="AG8" s="150"/>
      <c r="AH8" s="150"/>
      <c r="AI8" s="150"/>
      <c r="AJ8" s="150"/>
      <c r="AK8" s="150"/>
      <c r="AL8" s="150"/>
      <c r="AM8" s="150"/>
      <c r="AN8" s="150"/>
      <c r="AO8" s="150"/>
      <c r="AP8" s="174"/>
      <c r="AQ8" s="174"/>
      <c r="AR8" s="174"/>
      <c r="AS8" s="174"/>
      <c r="AT8" s="174"/>
      <c r="AU8" s="174"/>
      <c r="AV8" s="174"/>
      <c r="AW8" s="174"/>
      <c r="AX8" s="174"/>
      <c r="AY8" s="174"/>
      <c r="AZ8" s="174"/>
      <c r="BA8" s="174"/>
      <c r="BB8" s="174"/>
      <c r="BC8" s="172"/>
      <c r="BD8" s="170"/>
      <c r="BE8" s="170"/>
      <c r="BF8" s="170"/>
      <c r="BG8" s="170"/>
      <c r="BH8" s="170"/>
      <c r="BI8" s="170"/>
      <c r="BJ8" s="170"/>
      <c r="BK8" s="167">
        <f t="shared" si="3"/>
        <v>84394016.794646353</v>
      </c>
      <c r="BL8" s="167">
        <f t="shared" si="8"/>
        <v>-84394016.794646353</v>
      </c>
      <c r="BM8" s="167">
        <f t="shared" si="9"/>
        <v>-84394016.794646353</v>
      </c>
      <c r="BN8" s="167">
        <f t="shared" si="6"/>
        <v>0</v>
      </c>
    </row>
    <row r="9" spans="1:66" s="171" customFormat="1" hidden="1" outlineLevel="2" x14ac:dyDescent="0.3">
      <c r="A9" s="169"/>
      <c r="B9" s="186" t="s">
        <v>2571</v>
      </c>
      <c r="C9" s="186" t="s">
        <v>63</v>
      </c>
      <c r="D9" s="186" t="s">
        <v>2814</v>
      </c>
      <c r="E9" s="186" t="s">
        <v>2571</v>
      </c>
      <c r="F9" s="183" t="s">
        <v>63</v>
      </c>
      <c r="G9" s="186">
        <v>349</v>
      </c>
      <c r="H9" s="186" t="s">
        <v>706</v>
      </c>
      <c r="I9" s="242">
        <f>VLOOKUP($I$1,'3.a'!B:V,5,0)*'3.a'!$H$2</f>
        <v>11364747.714590909</v>
      </c>
      <c r="J9" s="150">
        <f t="shared" si="0"/>
        <v>11364747.714590911</v>
      </c>
      <c r="K9" s="150">
        <f t="shared" si="7"/>
        <v>0</v>
      </c>
      <c r="L9" s="150">
        <f t="shared" si="1"/>
        <v>0</v>
      </c>
      <c r="M9" s="173" t="s">
        <v>1341</v>
      </c>
      <c r="N9" s="150">
        <f>IFERROR(VLOOKUP(N$1,'22.b3'!$D:$H,3,0),0)*'3.a'!$H$2</f>
        <v>200584.08210041808</v>
      </c>
      <c r="O9" s="150">
        <f>IFERROR(VLOOKUP(O$1,'22.b3'!$D:$H,3,0),0)*'3.a'!$H$2</f>
        <v>250851.39717141984</v>
      </c>
      <c r="P9" s="150">
        <f>IFERROR(VLOOKUP(P$1,'22.b3'!$D:$H,3,0),0)*'3.a'!$H$2</f>
        <v>0</v>
      </c>
      <c r="Q9" s="150">
        <f>IFERROR(VLOOKUP(Q$1,'22.b3'!$D:$H,3,0),0)*'3.a'!$H$2</f>
        <v>2169126.7873058068</v>
      </c>
      <c r="R9" s="150">
        <f>IFERROR(VLOOKUP(R$1,'22.b3'!$D:$H,3,0),0)*'3.a'!$H$2</f>
        <v>1475596.4539495283</v>
      </c>
      <c r="S9" s="150">
        <f>IFERROR(VLOOKUP(S$1,'22.b3'!$D:$H,3,0),0)*'3.a'!$H$2</f>
        <v>295119.2907899057</v>
      </c>
      <c r="T9" s="150">
        <f>IFERROR(VLOOKUP(T$1,'22.b3'!$D:$H,3,0),0)*'3.a'!$H$2</f>
        <v>59023.858157981143</v>
      </c>
      <c r="U9" s="150">
        <f>IFERROR(VLOOKUP(U$1,'22.b3'!$D:$H,3,0),0)*'3.a'!$H$2</f>
        <v>5533486.7023107316</v>
      </c>
      <c r="V9" s="150">
        <f>IFERROR(VLOOKUP(V$1,'22.b3'!$D:$H,3,0),0)*'3.a'!$H$2</f>
        <v>221339.46809242928</v>
      </c>
      <c r="W9" s="150">
        <f>IFERROR(VLOOKUP(W$1,'22.b3'!$D:$H,3,0),0)*'3.a'!$H$2</f>
        <v>73779.822697476411</v>
      </c>
      <c r="X9" s="150">
        <f>IFERROR(VLOOKUP(X$1,'22.b3'!$D:$H,3,0),0)*'3.a'!$H$2</f>
        <v>221339.46809242928</v>
      </c>
      <c r="Y9" s="150">
        <f>IFERROR(VLOOKUP(Y$1,'22.b3'!$D:$H,3,0),0)*'3.a'!$H$2</f>
        <v>88535.787236971708</v>
      </c>
      <c r="Z9" s="150">
        <f>IFERROR(VLOOKUP(Z$1,'22.b3'!$D:$H,3,0),0)*'3.a'!$H$2</f>
        <v>716940.73852783185</v>
      </c>
      <c r="AA9" s="150">
        <f>IFERROR(VLOOKUP(AA$1,'22.b3'!$D:$H,3,0),0)*'3.a'!$H$2</f>
        <v>0</v>
      </c>
      <c r="AB9" s="150"/>
      <c r="AC9" s="150">
        <f>IFERROR(VLOOKUP($I$1,'22.b3'!$C:$H,4,0),0)*'3.a'!$H$2</f>
        <v>59023.858157981143</v>
      </c>
      <c r="AD9" s="150"/>
      <c r="AE9" s="150"/>
      <c r="AF9" s="150"/>
      <c r="AG9" s="150"/>
      <c r="AH9" s="150"/>
      <c r="AI9" s="150"/>
      <c r="AJ9" s="150"/>
      <c r="AK9" s="150"/>
      <c r="AL9" s="150"/>
      <c r="AM9" s="150"/>
      <c r="AN9" s="150"/>
      <c r="AO9" s="150"/>
      <c r="AP9" s="174"/>
      <c r="AQ9" s="174"/>
      <c r="AR9" s="174"/>
      <c r="AS9" s="174"/>
      <c r="AT9" s="174"/>
      <c r="AU9" s="174"/>
      <c r="AV9" s="174"/>
      <c r="AW9" s="174"/>
      <c r="AX9" s="174"/>
      <c r="AY9" s="174"/>
      <c r="AZ9" s="174"/>
      <c r="BA9" s="174"/>
      <c r="BB9" s="174"/>
      <c r="BC9" s="172"/>
      <c r="BD9" s="170">
        <f>-I9</f>
        <v>-11364747.714590909</v>
      </c>
      <c r="BE9" s="170"/>
      <c r="BF9" s="170"/>
      <c r="BG9" s="170"/>
      <c r="BH9" s="170"/>
      <c r="BI9" s="170"/>
      <c r="BJ9" s="170"/>
      <c r="BK9" s="167">
        <f t="shared" si="3"/>
        <v>11305723.85643293</v>
      </c>
      <c r="BL9" s="167">
        <f t="shared" si="8"/>
        <v>59023.858157981143</v>
      </c>
      <c r="BM9" s="167">
        <f t="shared" si="9"/>
        <v>59023.858157981143</v>
      </c>
      <c r="BN9" s="167">
        <f t="shared" si="6"/>
        <v>-11364747.714590909</v>
      </c>
    </row>
    <row r="10" spans="1:66" s="171" customFormat="1" hidden="1" outlineLevel="2" x14ac:dyDescent="0.3">
      <c r="A10" s="169"/>
      <c r="B10" s="186" t="s">
        <v>2571</v>
      </c>
      <c r="C10" s="186" t="s">
        <v>63</v>
      </c>
      <c r="D10" s="186" t="s">
        <v>2814</v>
      </c>
      <c r="E10" s="186" t="s">
        <v>2572</v>
      </c>
      <c r="F10" s="183" t="s">
        <v>63</v>
      </c>
      <c r="G10" s="186">
        <v>349</v>
      </c>
      <c r="H10" s="186" t="s">
        <v>706</v>
      </c>
      <c r="I10" s="242">
        <v>0</v>
      </c>
      <c r="J10" s="150">
        <f t="shared" si="0"/>
        <v>0</v>
      </c>
      <c r="K10" s="150">
        <f t="shared" si="7"/>
        <v>0</v>
      </c>
      <c r="L10" s="150">
        <f t="shared" si="1"/>
        <v>0</v>
      </c>
      <c r="M10" s="175">
        <v>3</v>
      </c>
      <c r="N10" s="150">
        <f>IFERROR(VLOOKUP($M10,'1 b felosztások'!$A:$AE,'1 b felosztások'!C$2,0)*-$AC10,0)</f>
        <v>13194.753274224453</v>
      </c>
      <c r="O10" s="150">
        <f>IFERROR(VLOOKUP($M10,'1 b felosztások'!$A:$AE,'1 b felosztások'!D$2,0)*-$AC10,0)</f>
        <v>3021.6992231048366</v>
      </c>
      <c r="P10" s="150">
        <f>IFERROR(VLOOKUP($M10,'1 b felosztások'!$A:$AE,'1 b felosztások'!E$2,0)*-$AC10,0)</f>
        <v>604.33984462096737</v>
      </c>
      <c r="Q10" s="150">
        <f>IFERROR(VLOOKUP($M10,'1 b felosztások'!$A:$AE,'1 b felosztások'!F$2,0)*-$AC10,0)</f>
        <v>4129.6556049099436</v>
      </c>
      <c r="R10" s="150">
        <f>IFERROR(VLOOKUP($M10,'1 b felosztások'!$A:$AE,'1 b felosztások'!G$2,0)*-$AC10,0)</f>
        <v>1510.8496115524183</v>
      </c>
      <c r="S10" s="150">
        <f>IFERROR(VLOOKUP($M10,'1 b felosztások'!$A:$AE,'1 b felosztások'!H$2,0)*-$AC10,0)</f>
        <v>4028.9322974731158</v>
      </c>
      <c r="T10" s="150">
        <f>IFERROR(VLOOKUP($M10,'1 b felosztások'!$A:$AE,'1 b felosztások'!I$2,0)*-$AC10,0)</f>
        <v>4028.9322974731158</v>
      </c>
      <c r="U10" s="150">
        <f>IFERROR(VLOOKUP($M10,'1 b felosztások'!$A:$AE,'1 b felosztások'!J$2,0)*-$AC10,0)</f>
        <v>5741.2285238991899</v>
      </c>
      <c r="V10" s="150">
        <f>IFERROR(VLOOKUP($M10,'1 b felosztások'!$A:$AE,'1 b felosztások'!K$2,0)*-$AC10,0)</f>
        <v>3323.8691454153204</v>
      </c>
      <c r="W10" s="150">
        <f>IFERROR(VLOOKUP($M10,'1 b felosztások'!$A:$AE,'1 b felosztások'!L$2,0)*-$AC10,0)</f>
        <v>3223.1458379784926</v>
      </c>
      <c r="X10" s="150">
        <f>IFERROR(VLOOKUP($M10,'1 b felosztások'!$A:$AE,'1 b felosztások'!M$2,0)*-$AC10,0)</f>
        <v>402.89322974731158</v>
      </c>
      <c r="Y10" s="150">
        <f>IFERROR(VLOOKUP($M10,'1 b felosztások'!$A:$AE,'1 b felosztások'!N$2,0)*-$AC10,0)</f>
        <v>14000.539733719077</v>
      </c>
      <c r="Z10" s="150">
        <f>IFERROR(VLOOKUP($M10,'1 b felosztások'!$A:$AE,'1 b felosztások'!O$2,0)*-$AC10,0)</f>
        <v>1813.0195338629019</v>
      </c>
      <c r="AA10" s="150">
        <f>IFERROR(VLOOKUP($M10,'1 b felosztások'!$A:$AE,'1 b felosztások'!P$2,0)*-$AC10,0)</f>
        <v>0</v>
      </c>
      <c r="AB10" s="150"/>
      <c r="AC10" s="176">
        <f>-AC9</f>
        <v>-59023.858157981143</v>
      </c>
      <c r="AD10" s="150"/>
      <c r="AE10" s="150"/>
      <c r="AF10" s="150"/>
      <c r="AG10" s="150"/>
      <c r="AH10" s="150"/>
      <c r="AI10" s="150"/>
      <c r="AJ10" s="150"/>
      <c r="AK10" s="150"/>
      <c r="AL10" s="150"/>
      <c r="AM10" s="150"/>
      <c r="AN10" s="150"/>
      <c r="AO10" s="150"/>
      <c r="AP10" s="174"/>
      <c r="AQ10" s="174"/>
      <c r="AR10" s="174"/>
      <c r="AS10" s="174"/>
      <c r="AT10" s="174"/>
      <c r="AU10" s="174"/>
      <c r="AV10" s="174"/>
      <c r="AW10" s="174"/>
      <c r="AX10" s="174"/>
      <c r="AY10" s="174"/>
      <c r="AZ10" s="174"/>
      <c r="BA10" s="174"/>
      <c r="BB10" s="174"/>
      <c r="BC10" s="172"/>
      <c r="BD10" s="170"/>
      <c r="BE10" s="170"/>
      <c r="BF10" s="170"/>
      <c r="BG10" s="170"/>
      <c r="BH10" s="170"/>
      <c r="BI10" s="170"/>
      <c r="BJ10" s="170"/>
      <c r="BK10" s="167">
        <f t="shared" si="3"/>
        <v>59023.858157981143</v>
      </c>
      <c r="BL10" s="167">
        <f t="shared" si="8"/>
        <v>-59023.858157981143</v>
      </c>
      <c r="BM10" s="167">
        <f t="shared" si="9"/>
        <v>-59023.858157981143</v>
      </c>
      <c r="BN10" s="167">
        <f t="shared" si="6"/>
        <v>0</v>
      </c>
    </row>
    <row r="11" spans="1:66" s="168" customFormat="1" hidden="1" outlineLevel="1" collapsed="1" x14ac:dyDescent="0.3">
      <c r="A11" s="164">
        <v>4</v>
      </c>
      <c r="B11" s="183" t="s">
        <v>18</v>
      </c>
      <c r="C11" s="183" t="s">
        <v>63</v>
      </c>
      <c r="D11" s="183"/>
      <c r="E11" s="183" t="str">
        <f>VLOOKUP(A11,'Bevétel 2a SZH 2023'!B:C,2,0)</f>
        <v>Képzési saját bevételek célszervezetre</v>
      </c>
      <c r="F11" s="183" t="s">
        <v>2696</v>
      </c>
      <c r="G11" s="183"/>
      <c r="H11" s="183" t="s">
        <v>2617</v>
      </c>
      <c r="I11" s="718">
        <f>IFERROR(VLOOKUP($A11,'Bevétel 2a SZH 2023'!$B:$L,MATCH($I$1,'Bevétel 2a SZH 2023'!$B$1:$L$1,0),0), )</f>
        <v>57906340.970469043</v>
      </c>
      <c r="J11" s="165">
        <f t="shared" si="0"/>
        <v>57906340.970469013</v>
      </c>
      <c r="K11" s="150">
        <f t="shared" ref="K11:K17" si="10">+I11-J11</f>
        <v>0</v>
      </c>
      <c r="L11" s="150">
        <f t="shared" si="1"/>
        <v>57906340.970469013</v>
      </c>
      <c r="M11" s="166"/>
      <c r="N11" s="165">
        <f>SUM(N14:N17)</f>
        <v>14337638.126009705</v>
      </c>
      <c r="O11" s="165">
        <f>SUM(O14:O17)</f>
        <v>2545109.4358309372</v>
      </c>
      <c r="P11" s="165">
        <f t="shared" ref="P11:Y11" si="11">SUM(P14:P17)</f>
        <v>810254.42506751022</v>
      </c>
      <c r="Q11" s="165">
        <f t="shared" si="11"/>
        <v>2569018.1978326957</v>
      </c>
      <c r="R11" s="165">
        <f t="shared" si="11"/>
        <v>3315596.0890816161</v>
      </c>
      <c r="S11" s="165">
        <f t="shared" si="11"/>
        <v>3228929.0239812722</v>
      </c>
      <c r="T11" s="165">
        <f t="shared" si="11"/>
        <v>1587259.7084173774</v>
      </c>
      <c r="U11" s="165">
        <f t="shared" si="11"/>
        <v>13427040.55962188</v>
      </c>
      <c r="V11" s="165">
        <f t="shared" si="11"/>
        <v>3510008.7147009009</v>
      </c>
      <c r="W11" s="165">
        <f t="shared" si="11"/>
        <v>3093760.0533428662</v>
      </c>
      <c r="X11" s="165">
        <f t="shared" si="11"/>
        <v>1175784.7018386193</v>
      </c>
      <c r="Y11" s="165">
        <f t="shared" si="11"/>
        <v>7108016.2708378173</v>
      </c>
      <c r="Z11" s="165">
        <f>SUM(Z14:Z17)</f>
        <v>1197925.6639058143</v>
      </c>
      <c r="AA11" s="165">
        <f>SUM(AA14:AA17)</f>
        <v>0</v>
      </c>
      <c r="AB11" s="150"/>
      <c r="AC11" s="165">
        <f>SUM(AB14:AB17)</f>
        <v>0</v>
      </c>
      <c r="AD11" s="165"/>
      <c r="AE11" s="165"/>
      <c r="AF11" s="165"/>
      <c r="AG11" s="165"/>
      <c r="AH11" s="165"/>
      <c r="AI11" s="165"/>
      <c r="AJ11" s="165"/>
      <c r="AK11" s="165"/>
      <c r="AL11" s="165"/>
      <c r="AM11" s="165"/>
      <c r="AN11" s="165"/>
      <c r="AO11" s="165"/>
      <c r="AP11" s="165"/>
      <c r="AQ11" s="165"/>
      <c r="AR11" s="165"/>
      <c r="AS11" s="165"/>
      <c r="AT11" s="165"/>
      <c r="AU11" s="165"/>
      <c r="AV11" s="165"/>
      <c r="AW11" s="165"/>
      <c r="AX11" s="165"/>
      <c r="AY11" s="165"/>
      <c r="AZ11" s="165"/>
      <c r="BA11" s="165"/>
      <c r="BB11" s="165"/>
      <c r="BC11" s="165"/>
      <c r="BD11" s="165"/>
      <c r="BE11" s="165"/>
      <c r="BF11" s="165"/>
      <c r="BG11" s="165"/>
      <c r="BH11" s="165"/>
      <c r="BI11" s="165"/>
      <c r="BJ11" s="165"/>
      <c r="BK11" s="167">
        <f t="shared" si="3"/>
        <v>57906340.970469013</v>
      </c>
      <c r="BL11" s="167">
        <f t="shared" si="8"/>
        <v>0</v>
      </c>
      <c r="BM11" s="167">
        <f t="shared" si="9"/>
        <v>0</v>
      </c>
      <c r="BN11" s="167">
        <f t="shared" si="6"/>
        <v>0</v>
      </c>
    </row>
    <row r="12" spans="1:66" s="171" customFormat="1" hidden="1" outlineLevel="2" x14ac:dyDescent="0.3">
      <c r="A12" s="169"/>
      <c r="B12" s="186" t="s">
        <v>2862</v>
      </c>
      <c r="C12" s="186" t="s">
        <v>63</v>
      </c>
      <c r="D12" s="186" t="s">
        <v>2815</v>
      </c>
      <c r="E12" s="186" t="s">
        <v>2577</v>
      </c>
      <c r="F12" s="183" t="s">
        <v>2697</v>
      </c>
      <c r="G12" s="186">
        <v>255</v>
      </c>
      <c r="H12" s="186" t="s">
        <v>543</v>
      </c>
      <c r="I12" s="242">
        <f>VLOOKUP($I$1,'3.a'!B:V,9,0)</f>
        <v>61515000.00000003</v>
      </c>
      <c r="J12" s="150">
        <f t="shared" si="0"/>
        <v>61515000.00000003</v>
      </c>
      <c r="K12" s="150">
        <f t="shared" si="10"/>
        <v>0</v>
      </c>
      <c r="L12" s="150">
        <f t="shared" si="1"/>
        <v>61515000.00000003</v>
      </c>
      <c r="M12" s="166"/>
      <c r="N12" s="150"/>
      <c r="O12" s="150"/>
      <c r="P12" s="150"/>
      <c r="Q12" s="150"/>
      <c r="R12" s="150"/>
      <c r="S12" s="150"/>
      <c r="T12" s="150"/>
      <c r="U12" s="150"/>
      <c r="V12" s="150"/>
      <c r="W12" s="150"/>
      <c r="X12" s="150"/>
      <c r="Y12" s="150"/>
      <c r="Z12" s="150"/>
      <c r="AA12" s="150"/>
      <c r="AB12" s="150"/>
      <c r="AC12" s="150"/>
      <c r="AD12" s="150"/>
      <c r="AE12" s="150"/>
      <c r="AF12" s="150"/>
      <c r="AG12" s="150"/>
      <c r="AH12" s="150"/>
      <c r="AI12" s="150"/>
      <c r="AJ12" s="150"/>
      <c r="AK12" s="150"/>
      <c r="AL12" s="150">
        <f>+I12</f>
        <v>61515000.00000003</v>
      </c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72"/>
      <c r="BD12" s="170"/>
      <c r="BE12" s="170"/>
      <c r="BF12" s="170"/>
      <c r="BG12" s="170"/>
      <c r="BH12" s="170"/>
      <c r="BI12" s="170"/>
      <c r="BJ12" s="170"/>
      <c r="BK12" s="167">
        <f t="shared" si="3"/>
        <v>0</v>
      </c>
      <c r="BL12" s="167">
        <f t="shared" si="8"/>
        <v>0</v>
      </c>
      <c r="BM12" s="167">
        <f t="shared" si="9"/>
        <v>61515000.00000003</v>
      </c>
      <c r="BN12" s="167">
        <f t="shared" si="6"/>
        <v>0</v>
      </c>
    </row>
    <row r="13" spans="1:66" s="171" customFormat="1" hidden="1" outlineLevel="2" x14ac:dyDescent="0.3">
      <c r="A13" s="169"/>
      <c r="B13" s="186" t="s">
        <v>771</v>
      </c>
      <c r="C13" s="186" t="s">
        <v>63</v>
      </c>
      <c r="D13" s="186" t="s">
        <v>2815</v>
      </c>
      <c r="E13" s="186" t="s">
        <v>771</v>
      </c>
      <c r="F13" s="183" t="s">
        <v>2697</v>
      </c>
      <c r="G13" s="186">
        <v>294</v>
      </c>
      <c r="H13" s="186" t="s">
        <v>604</v>
      </c>
      <c r="I13" s="242">
        <f>-VLOOKUP($I$1,'3.a'!B:V,10,0)</f>
        <v>-9668163.2498108186</v>
      </c>
      <c r="J13" s="150">
        <f t="shared" si="0"/>
        <v>-9668163.2498108186</v>
      </c>
      <c r="K13" s="150">
        <f t="shared" si="10"/>
        <v>0</v>
      </c>
      <c r="L13" s="150">
        <f t="shared" si="1"/>
        <v>0</v>
      </c>
      <c r="M13" s="166"/>
      <c r="N13" s="150"/>
      <c r="O13" s="150"/>
      <c r="P13" s="150"/>
      <c r="Q13" s="150"/>
      <c r="R13" s="150"/>
      <c r="S13" s="150"/>
      <c r="T13" s="150"/>
      <c r="U13" s="150"/>
      <c r="V13" s="150"/>
      <c r="W13" s="150"/>
      <c r="X13" s="150"/>
      <c r="Y13" s="150"/>
      <c r="Z13" s="150"/>
      <c r="AA13" s="150"/>
      <c r="AB13" s="150"/>
      <c r="AC13" s="150"/>
      <c r="AD13" s="150"/>
      <c r="AE13" s="150"/>
      <c r="AF13" s="150"/>
      <c r="AG13" s="150"/>
      <c r="AH13" s="150"/>
      <c r="AI13" s="150"/>
      <c r="AJ13" s="150"/>
      <c r="AK13" s="150"/>
      <c r="AL13" s="150">
        <f>+I13</f>
        <v>-9668163.2498108186</v>
      </c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77">
        <f>-I13</f>
        <v>9668163.2498108186</v>
      </c>
      <c r="BD13" s="170"/>
      <c r="BE13" s="170"/>
      <c r="BF13" s="170"/>
      <c r="BG13" s="170"/>
      <c r="BH13" s="170"/>
      <c r="BI13" s="170"/>
      <c r="BJ13" s="170"/>
      <c r="BK13" s="167">
        <f t="shared" si="3"/>
        <v>0</v>
      </c>
      <c r="BL13" s="167">
        <f t="shared" si="8"/>
        <v>0</v>
      </c>
      <c r="BM13" s="167">
        <f t="shared" si="9"/>
        <v>-9668163.2498108186</v>
      </c>
      <c r="BN13" s="167">
        <f t="shared" si="6"/>
        <v>9668163.2498108186</v>
      </c>
    </row>
    <row r="14" spans="1:66" s="171" customFormat="1" hidden="1" outlineLevel="2" x14ac:dyDescent="0.3">
      <c r="A14" s="169"/>
      <c r="B14" s="186" t="s">
        <v>2856</v>
      </c>
      <c r="C14" s="186" t="s">
        <v>63</v>
      </c>
      <c r="D14" s="186"/>
      <c r="E14" s="186" t="s">
        <v>2579</v>
      </c>
      <c r="F14" s="183" t="s">
        <v>63</v>
      </c>
      <c r="G14" s="186">
        <v>286</v>
      </c>
      <c r="H14" s="186" t="s">
        <v>591</v>
      </c>
      <c r="I14" s="242">
        <f>+I12+I13</f>
        <v>51846836.750189215</v>
      </c>
      <c r="J14" s="150">
        <f t="shared" si="0"/>
        <v>0</v>
      </c>
      <c r="K14" s="150">
        <f t="shared" si="10"/>
        <v>51846836.750189215</v>
      </c>
      <c r="L14" s="150">
        <f t="shared" si="1"/>
        <v>0</v>
      </c>
      <c r="M14" s="173" t="s">
        <v>1340</v>
      </c>
      <c r="N14" s="150">
        <f>IFERROR(VLOOKUP(N$1,'22.b2'!$D:$H,2,0),0)</f>
        <v>10972843.025067035</v>
      </c>
      <c r="O14" s="150">
        <f>IFERROR(VLOOKUP(O$1,'22.b2'!$D:$H,2,0),0)</f>
        <v>1762650.4165704874</v>
      </c>
      <c r="P14" s="150">
        <f>IFERROR(VLOOKUP(P$1,'22.b2'!$D:$H,2,0),0)</f>
        <v>662684.54703683523</v>
      </c>
      <c r="Q14" s="150">
        <f>IFERROR(VLOOKUP(Q$1,'22.b2'!$D:$H,2,0),0)</f>
        <v>858062.59062143939</v>
      </c>
      <c r="R14" s="150">
        <f>IFERROR(VLOOKUP(R$1,'22.b2'!$D:$H,2,0),0)</f>
        <v>2644370.8648589137</v>
      </c>
      <c r="S14" s="150">
        <f>IFERROR(VLOOKUP(S$1,'22.b2'!$D:$H,2,0),0)</f>
        <v>2111300.9497888805</v>
      </c>
      <c r="T14" s="150">
        <f>IFERROR(VLOOKUP(T$1,'22.b2'!$D:$H,2,0),0)</f>
        <v>603460.5215462104</v>
      </c>
      <c r="U14" s="150">
        <f>IFERROR(VLOOKUP(U$1,'22.b2'!$D:$H,2,0),0)</f>
        <v>7410818.0393660208</v>
      </c>
      <c r="V14" s="150">
        <f>IFERROR(VLOOKUP(V$1,'22.b2'!$D:$H,2,0),0)</f>
        <v>2698374.3855321882</v>
      </c>
      <c r="W14" s="150">
        <f>IFERROR(VLOOKUP(W$1,'22.b2'!$D:$H,2,0),0)</f>
        <v>2306720.7038459326</v>
      </c>
      <c r="X14" s="150">
        <f>IFERROR(VLOOKUP(X$1,'22.b2'!$D:$H,2,0),0)</f>
        <v>1047623.3903229809</v>
      </c>
      <c r="Y14" s="150">
        <f>IFERROR(VLOOKUP(Y$1,'22.b2'!$D:$H,2,0),0)</f>
        <v>3689314.0964605119</v>
      </c>
      <c r="Z14" s="150">
        <f>IFERROR(VLOOKUP(Z$1,'22.b2'!$D:$H,2,0),0)</f>
        <v>665955.13150916761</v>
      </c>
      <c r="AA14" s="150">
        <f>IFERROR(VLOOKUP(AA$1,'22.b2'!$D:$H,2,0),0)</f>
        <v>0</v>
      </c>
      <c r="AB14" s="150"/>
      <c r="AC14" s="150">
        <f>IFERROR(VLOOKUP($I$1,'22.b2'!$C:$H,3,0),0)</f>
        <v>14412658.087662594</v>
      </c>
      <c r="AD14" s="150"/>
      <c r="AE14" s="150"/>
      <c r="AF14" s="150"/>
      <c r="AG14" s="150"/>
      <c r="AH14" s="150"/>
      <c r="AI14" s="150"/>
      <c r="AJ14" s="150"/>
      <c r="AK14" s="150"/>
      <c r="AL14" s="150">
        <f>-I14</f>
        <v>-51846836.750189215</v>
      </c>
      <c r="AM14" s="150"/>
      <c r="AN14" s="150"/>
      <c r="AO14" s="150"/>
      <c r="AP14" s="174"/>
      <c r="AQ14" s="174"/>
      <c r="AR14" s="174"/>
      <c r="AS14" s="174"/>
      <c r="AT14" s="174"/>
      <c r="AU14" s="174"/>
      <c r="AV14" s="174"/>
      <c r="AW14" s="174"/>
      <c r="AX14" s="174"/>
      <c r="AY14" s="174"/>
      <c r="AZ14" s="174"/>
      <c r="BA14" s="174"/>
      <c r="BB14" s="174"/>
      <c r="BC14" s="177"/>
      <c r="BD14" s="170"/>
      <c r="BE14" s="170"/>
      <c r="BF14" s="170"/>
      <c r="BG14" s="170"/>
      <c r="BH14" s="170"/>
      <c r="BI14" s="170"/>
      <c r="BJ14" s="170"/>
      <c r="BK14" s="167">
        <f t="shared" si="3"/>
        <v>37434178.662526608</v>
      </c>
      <c r="BL14" s="167">
        <f t="shared" si="8"/>
        <v>14412658.087662594</v>
      </c>
      <c r="BM14" s="167">
        <f t="shared" si="9"/>
        <v>-37434178.662526622</v>
      </c>
      <c r="BN14" s="167">
        <f t="shared" si="6"/>
        <v>0</v>
      </c>
    </row>
    <row r="15" spans="1:66" s="171" customFormat="1" hidden="1" outlineLevel="2" x14ac:dyDescent="0.3">
      <c r="A15" s="169"/>
      <c r="B15" s="186" t="s">
        <v>2856</v>
      </c>
      <c r="C15" s="186" t="s">
        <v>63</v>
      </c>
      <c r="D15" s="186"/>
      <c r="E15" s="186" t="s">
        <v>2578</v>
      </c>
      <c r="F15" s="183" t="s">
        <v>63</v>
      </c>
      <c r="G15" s="186">
        <v>286</v>
      </c>
      <c r="H15" s="186" t="s">
        <v>591</v>
      </c>
      <c r="I15" s="242">
        <v>0</v>
      </c>
      <c r="J15" s="150">
        <f t="shared" si="0"/>
        <v>0</v>
      </c>
      <c r="K15" s="150">
        <f t="shared" si="10"/>
        <v>0</v>
      </c>
      <c r="L15" s="150">
        <f t="shared" si="1"/>
        <v>0</v>
      </c>
      <c r="M15" s="175">
        <v>3</v>
      </c>
      <c r="N15" s="150">
        <f>IFERROR(VLOOKUP($M15,'1 b felosztások'!$A:$AE,'1 b felosztások'!C$2,0)*-$AC15,0)</f>
        <v>3221942.3370030713</v>
      </c>
      <c r="O15" s="150">
        <f>IFERROR(VLOOKUP($M15,'1 b felosztások'!$A:$AE,'1 b felosztások'!D$2,0)*-$AC15,0)</f>
        <v>737849.39015337511</v>
      </c>
      <c r="P15" s="150">
        <f>IFERROR(VLOOKUP($M15,'1 b felosztások'!$A:$AE,'1 b felosztások'!E$2,0)*-$AC15,0)</f>
        <v>147569.87803067503</v>
      </c>
      <c r="Q15" s="150">
        <f>IFERROR(VLOOKUP($M15,'1 b felosztások'!$A:$AE,'1 b felosztások'!F$2,0)*-$AC15,0)</f>
        <v>1008394.166542946</v>
      </c>
      <c r="R15" s="150">
        <f>IFERROR(VLOOKUP($M15,'1 b felosztások'!$A:$AE,'1 b felosztások'!G$2,0)*-$AC15,0)</f>
        <v>368924.69507668755</v>
      </c>
      <c r="S15" s="150">
        <f>IFERROR(VLOOKUP($M15,'1 b felosztások'!$A:$AE,'1 b felosztások'!H$2,0)*-$AC15,0)</f>
        <v>983799.18687116692</v>
      </c>
      <c r="T15" s="150">
        <f>IFERROR(VLOOKUP($M15,'1 b felosztások'!$A:$AE,'1 b felosztások'!I$2,0)*-$AC15,0)</f>
        <v>983799.18687116692</v>
      </c>
      <c r="U15" s="150">
        <f>IFERROR(VLOOKUP($M15,'1 b felosztások'!$A:$AE,'1 b felosztások'!J$2,0)*-$AC15,0)</f>
        <v>1401913.8412914127</v>
      </c>
      <c r="V15" s="150">
        <f>IFERROR(VLOOKUP($M15,'1 b felosztások'!$A:$AE,'1 b felosztások'!K$2,0)*-$AC15,0)</f>
        <v>811634.3291687126</v>
      </c>
      <c r="W15" s="150">
        <f>IFERROR(VLOOKUP($M15,'1 b felosztások'!$A:$AE,'1 b felosztások'!L$2,0)*-$AC15,0)</f>
        <v>787039.34949693352</v>
      </c>
      <c r="X15" s="150">
        <f>IFERROR(VLOOKUP($M15,'1 b felosztások'!$A:$AE,'1 b felosztások'!M$2,0)*-$AC15,0)</f>
        <v>98379.918687116689</v>
      </c>
      <c r="Y15" s="150">
        <f>IFERROR(VLOOKUP($M15,'1 b felosztások'!$A:$AE,'1 b felosztások'!N$2,0)*-$AC15,0)</f>
        <v>3418702.174377305</v>
      </c>
      <c r="Z15" s="150">
        <f>IFERROR(VLOOKUP($M15,'1 b felosztások'!$A:$AE,'1 b felosztások'!O$2,0)*-$AC15,0)</f>
        <v>442709.63409202505</v>
      </c>
      <c r="AA15" s="150">
        <f>IFERROR(VLOOKUP($M15,'1 b felosztások'!$A:$AE,'1 b felosztások'!P$2,0)*-$AC15,0)</f>
        <v>0</v>
      </c>
      <c r="AB15" s="150"/>
      <c r="AC15" s="176">
        <f>-AC14</f>
        <v>-14412658.087662594</v>
      </c>
      <c r="AD15" s="150"/>
      <c r="AE15" s="150"/>
      <c r="AF15" s="150"/>
      <c r="AG15" s="150"/>
      <c r="AH15" s="150"/>
      <c r="AI15" s="150"/>
      <c r="AJ15" s="150"/>
      <c r="AK15" s="150"/>
      <c r="AL15" s="150"/>
      <c r="AM15" s="150"/>
      <c r="AN15" s="150"/>
      <c r="AO15" s="150"/>
      <c r="AP15" s="174"/>
      <c r="AQ15" s="174"/>
      <c r="AR15" s="174"/>
      <c r="AS15" s="174"/>
      <c r="AT15" s="174"/>
      <c r="AU15" s="174"/>
      <c r="AV15" s="174"/>
      <c r="AW15" s="174"/>
      <c r="AX15" s="174"/>
      <c r="AY15" s="174"/>
      <c r="AZ15" s="174"/>
      <c r="BA15" s="174"/>
      <c r="BB15" s="174"/>
      <c r="BC15" s="177"/>
      <c r="BD15" s="170"/>
      <c r="BE15" s="170"/>
      <c r="BF15" s="170"/>
      <c r="BG15" s="170"/>
      <c r="BH15" s="170"/>
      <c r="BI15" s="170"/>
      <c r="BJ15" s="170"/>
      <c r="BK15" s="167">
        <f t="shared" si="3"/>
        <v>14412658.087662594</v>
      </c>
      <c r="BL15" s="167">
        <f t="shared" si="8"/>
        <v>-14412658.087662594</v>
      </c>
      <c r="BM15" s="167">
        <f t="shared" si="9"/>
        <v>-14412658.087662594</v>
      </c>
      <c r="BN15" s="167">
        <f t="shared" si="6"/>
        <v>0</v>
      </c>
    </row>
    <row r="16" spans="1:66" s="171" customFormat="1" hidden="1" outlineLevel="2" x14ac:dyDescent="0.3">
      <c r="A16" s="169"/>
      <c r="B16" s="186" t="s">
        <v>2574</v>
      </c>
      <c r="C16" s="186" t="s">
        <v>63</v>
      </c>
      <c r="D16" s="186" t="s">
        <v>2816</v>
      </c>
      <c r="E16" s="186" t="s">
        <v>2574</v>
      </c>
      <c r="F16" s="183" t="s">
        <v>63</v>
      </c>
      <c r="G16" s="186">
        <v>301</v>
      </c>
      <c r="H16" s="186" t="s">
        <v>617</v>
      </c>
      <c r="I16" s="242">
        <f>VLOOKUP($I$1,'3.a'!B:V,11,0)</f>
        <v>6059504.2202798137</v>
      </c>
      <c r="J16" s="150">
        <f t="shared" si="0"/>
        <v>6059504.2202798137</v>
      </c>
      <c r="K16" s="150">
        <f t="shared" si="10"/>
        <v>0</v>
      </c>
      <c r="L16" s="150">
        <f t="shared" si="1"/>
        <v>0</v>
      </c>
      <c r="M16" s="173" t="s">
        <v>1341</v>
      </c>
      <c r="N16" s="150">
        <f>IFERROR(VLOOKUP(N$1,'22.b3'!$D:$H,2,0),0)</f>
        <v>142852.76393959919</v>
      </c>
      <c r="O16" s="150">
        <f>IFERROR(VLOOKUP(O$1,'22.b3'!$D:$H,2,0),0)</f>
        <v>44609.629107074943</v>
      </c>
      <c r="P16" s="150">
        <f>IFERROR(VLOOKUP(P$1,'22.b3'!$D:$H,2,0),0)</f>
        <v>0</v>
      </c>
      <c r="Q16" s="150">
        <f>IFERROR(VLOOKUP(Q$1,'22.b3'!$D:$H,2,0),0)</f>
        <v>702561.44066831039</v>
      </c>
      <c r="R16" s="150">
        <f>IFERROR(VLOOKUP(R$1,'22.b3'!$D:$H,2,0),0)</f>
        <v>302300.52914601477</v>
      </c>
      <c r="S16" s="150">
        <f>IFERROR(VLOOKUP(S$1,'22.b3'!$D:$H,2,0),0)</f>
        <v>133828.88732122481</v>
      </c>
      <c r="T16" s="150">
        <f>IFERROR(VLOOKUP(T$1,'22.b3'!$D:$H,2,0),0)</f>
        <v>0</v>
      </c>
      <c r="U16" s="150">
        <f>IFERROR(VLOOKUP(U$1,'22.b3'!$D:$H,2,0),0)</f>
        <v>4614308.6789644454</v>
      </c>
      <c r="V16" s="150">
        <f>IFERROR(VLOOKUP(V$1,'22.b3'!$D:$H,2,0),0)</f>
        <v>0</v>
      </c>
      <c r="W16" s="150">
        <f>IFERROR(VLOOKUP(W$1,'22.b3'!$D:$H,2,0),0)</f>
        <v>0</v>
      </c>
      <c r="X16" s="150">
        <f>IFERROR(VLOOKUP(X$1,'22.b3'!$D:$H,2,0),0)</f>
        <v>29781.392828521806</v>
      </c>
      <c r="Y16" s="150">
        <f>IFERROR(VLOOKUP(Y$1,'22.b3'!$D:$H,2,0),0)</f>
        <v>0</v>
      </c>
      <c r="Z16" s="150">
        <f>IFERROR(VLOOKUP(Z$1,'22.b3'!$D:$H,2,0),0)</f>
        <v>89260.898304621718</v>
      </c>
      <c r="AA16" s="150">
        <f>IFERROR(VLOOKUP(AA$1,'22.b3'!$D:$H,2,0),0)</f>
        <v>0</v>
      </c>
      <c r="AB16" s="150">
        <f>IFERROR(VLOOKUP($I$1,'22.b3'!$C:$H,3,0),0)</f>
        <v>0</v>
      </c>
      <c r="AC16" s="150"/>
      <c r="AD16" s="150"/>
      <c r="AE16" s="150"/>
      <c r="AF16" s="150"/>
      <c r="AG16" s="150"/>
      <c r="AH16" s="150"/>
      <c r="AI16" s="150"/>
      <c r="AJ16" s="150"/>
      <c r="AK16" s="150"/>
      <c r="AL16" s="150"/>
      <c r="AM16" s="150"/>
      <c r="AN16" s="150"/>
      <c r="AO16" s="150"/>
      <c r="AP16" s="174"/>
      <c r="AQ16" s="174"/>
      <c r="AR16" s="174"/>
      <c r="AS16" s="174"/>
      <c r="AT16" s="174"/>
      <c r="AU16" s="174"/>
      <c r="AV16" s="174"/>
      <c r="AW16" s="174"/>
      <c r="AX16" s="174"/>
      <c r="AY16" s="174"/>
      <c r="AZ16" s="174"/>
      <c r="BA16" s="174"/>
      <c r="BB16" s="174"/>
      <c r="BC16" s="177">
        <f>-I16</f>
        <v>-6059504.2202798137</v>
      </c>
      <c r="BD16" s="170"/>
      <c r="BE16" s="170"/>
      <c r="BF16" s="170"/>
      <c r="BG16" s="170"/>
      <c r="BH16" s="170"/>
      <c r="BI16" s="170"/>
      <c r="BJ16" s="170"/>
      <c r="BK16" s="167">
        <f t="shared" si="3"/>
        <v>6059504.2202798137</v>
      </c>
      <c r="BL16" s="167">
        <f t="shared" si="4"/>
        <v>0</v>
      </c>
      <c r="BM16" s="167">
        <f t="shared" si="5"/>
        <v>0</v>
      </c>
      <c r="BN16" s="167">
        <f t="shared" si="6"/>
        <v>-6059504.2202798137</v>
      </c>
    </row>
    <row r="17" spans="1:66" s="171" customFormat="1" hidden="1" outlineLevel="2" x14ac:dyDescent="0.3">
      <c r="A17" s="169"/>
      <c r="B17" s="186" t="s">
        <v>2574</v>
      </c>
      <c r="C17" s="186" t="s">
        <v>63</v>
      </c>
      <c r="D17" s="186" t="s">
        <v>2816</v>
      </c>
      <c r="E17" s="186" t="s">
        <v>2575</v>
      </c>
      <c r="F17" s="183" t="s">
        <v>63</v>
      </c>
      <c r="G17" s="186">
        <v>301</v>
      </c>
      <c r="H17" s="186" t="s">
        <v>617</v>
      </c>
      <c r="I17" s="242">
        <v>0</v>
      </c>
      <c r="J17" s="150">
        <f t="shared" si="0"/>
        <v>0</v>
      </c>
      <c r="K17" s="150">
        <f t="shared" si="10"/>
        <v>0</v>
      </c>
      <c r="L17" s="150">
        <f t="shared" si="1"/>
        <v>0</v>
      </c>
      <c r="M17" s="175">
        <v>3</v>
      </c>
      <c r="N17" s="150">
        <f>IFERROR(VLOOKUP($M17,'1 b felosztások'!$A:$AE,'1 b felosztások'!C$2,0)*-$AB17,0)</f>
        <v>0</v>
      </c>
      <c r="O17" s="150">
        <f>IFERROR(VLOOKUP($M17,'1 b felosztások'!$A:$AE,'1 b felosztások'!D$2,0)*-$AB17,0)</f>
        <v>0</v>
      </c>
      <c r="P17" s="150">
        <f>IFERROR(VLOOKUP($M17,'1 b felosztások'!$A:$AE,'1 b felosztások'!E$2,0)*-$AB17,0)</f>
        <v>0</v>
      </c>
      <c r="Q17" s="150">
        <f>IFERROR(VLOOKUP($M17,'1 b felosztások'!$A:$AE,'1 b felosztások'!F$2,0)*-$AB17,0)</f>
        <v>0</v>
      </c>
      <c r="R17" s="150">
        <f>IFERROR(VLOOKUP($M17,'1 b felosztások'!$A:$AE,'1 b felosztások'!G$2,0)*-$AB17,0)</f>
        <v>0</v>
      </c>
      <c r="S17" s="150">
        <f>IFERROR(VLOOKUP($M17,'1 b felosztások'!$A:$AE,'1 b felosztások'!H$2,0)*-$AB17,0)</f>
        <v>0</v>
      </c>
      <c r="T17" s="150">
        <f>IFERROR(VLOOKUP($M17,'1 b felosztások'!$A:$AE,'1 b felosztások'!I$2,0)*-$AB17,0)</f>
        <v>0</v>
      </c>
      <c r="U17" s="150">
        <f>IFERROR(VLOOKUP($M17,'1 b felosztások'!$A:$AE,'1 b felosztások'!J$2,0)*-$AB17,0)</f>
        <v>0</v>
      </c>
      <c r="V17" s="150">
        <f>IFERROR(VLOOKUP($M17,'1 b felosztások'!$A:$AE,'1 b felosztások'!K$2,0)*-$AB17,0)</f>
        <v>0</v>
      </c>
      <c r="W17" s="150">
        <f>IFERROR(VLOOKUP($M17,'1 b felosztások'!$A:$AE,'1 b felosztások'!L$2,0)*-$AB17,0)</f>
        <v>0</v>
      </c>
      <c r="X17" s="150">
        <f>IFERROR(VLOOKUP($M17,'1 b felosztások'!$A:$AE,'1 b felosztások'!M$2,0)*-$AB17,0)</f>
        <v>0</v>
      </c>
      <c r="Y17" s="150">
        <f>IFERROR(VLOOKUP($M17,'1 b felosztások'!$A:$AE,'1 b felosztások'!N$2,0)*-$AB17,0)</f>
        <v>0</v>
      </c>
      <c r="Z17" s="150">
        <f>IFERROR(VLOOKUP($M17,'1 b felosztások'!$A:$AE,'1 b felosztások'!O$2,0)*-$AB17,0)</f>
        <v>0</v>
      </c>
      <c r="AA17" s="150">
        <f>IFERROR(VLOOKUP($M17,'1 b felosztások'!$A:$AE,'1 b felosztások'!P$2,0)*-$AB17,0)</f>
        <v>0</v>
      </c>
      <c r="AB17" s="150">
        <f>-AB16</f>
        <v>0</v>
      </c>
      <c r="AC17" s="150"/>
      <c r="AD17" s="150"/>
      <c r="AE17" s="150"/>
      <c r="AF17" s="150"/>
      <c r="AG17" s="150"/>
      <c r="AH17" s="150"/>
      <c r="AI17" s="150"/>
      <c r="AJ17" s="150"/>
      <c r="AK17" s="150"/>
      <c r="AL17" s="150"/>
      <c r="AM17" s="150"/>
      <c r="AN17" s="150"/>
      <c r="AO17" s="150"/>
      <c r="AP17" s="174"/>
      <c r="AQ17" s="174"/>
      <c r="AR17" s="174"/>
      <c r="AS17" s="174"/>
      <c r="AT17" s="174"/>
      <c r="AU17" s="174"/>
      <c r="AV17" s="174"/>
      <c r="AW17" s="174"/>
      <c r="AX17" s="174"/>
      <c r="AY17" s="174"/>
      <c r="AZ17" s="174"/>
      <c r="BA17" s="174"/>
      <c r="BB17" s="174"/>
      <c r="BC17" s="177"/>
      <c r="BD17" s="170"/>
      <c r="BE17" s="170"/>
      <c r="BF17" s="170"/>
      <c r="BG17" s="170"/>
      <c r="BH17" s="170"/>
      <c r="BI17" s="170"/>
      <c r="BJ17" s="170"/>
      <c r="BK17" s="167">
        <f t="shared" si="3"/>
        <v>0</v>
      </c>
      <c r="BL17" s="167">
        <f t="shared" si="4"/>
        <v>0</v>
      </c>
      <c r="BM17" s="167">
        <f t="shared" si="5"/>
        <v>0</v>
      </c>
      <c r="BN17" s="167">
        <f t="shared" si="6"/>
        <v>0</v>
      </c>
    </row>
    <row r="18" spans="1:66" s="168" customFormat="1" hidden="1" outlineLevel="1" collapsed="1" x14ac:dyDescent="0.3">
      <c r="A18" s="164">
        <v>5</v>
      </c>
      <c r="B18" s="183" t="s">
        <v>20</v>
      </c>
      <c r="C18" s="183" t="s">
        <v>63</v>
      </c>
      <c r="D18" s="183" t="s">
        <v>2817</v>
      </c>
      <c r="E18" s="183" t="str">
        <f>VLOOKUP(A18,'Bevétel 2a SZH 2023'!B:C,2,0)</f>
        <v>Egyéb saját bevételek (ideértve a hasznosítási bevételek épület-használat arányosan felosztott összegét)</v>
      </c>
      <c r="F18" s="183" t="s">
        <v>2696</v>
      </c>
      <c r="G18" s="183"/>
      <c r="H18" s="183" t="s">
        <v>2617</v>
      </c>
      <c r="I18" s="718">
        <f>IFERROR(VLOOKUP($A18,'Bevétel 2a SZH 2023'!$B:$L,MATCH($I$1,'Bevétel 2a SZH 2023'!$B$1:$L$1,0),0), )</f>
        <v>12231887</v>
      </c>
      <c r="J18" s="165">
        <f t="shared" si="0"/>
        <v>12231887</v>
      </c>
      <c r="K18" s="165">
        <f>+I18-J18</f>
        <v>0</v>
      </c>
      <c r="L18" s="150">
        <f t="shared" si="1"/>
        <v>12231887</v>
      </c>
      <c r="M18" s="166"/>
      <c r="N18" s="165">
        <f>SUM(N19:N71)</f>
        <v>0</v>
      </c>
      <c r="O18" s="165">
        <f>SUM(O19:O71)</f>
        <v>0</v>
      </c>
      <c r="P18" s="165">
        <f t="shared" ref="P18:Z18" si="12">SUM(P19:P71)</f>
        <v>0</v>
      </c>
      <c r="Q18" s="165">
        <f t="shared" si="12"/>
        <v>0</v>
      </c>
      <c r="R18" s="165">
        <f t="shared" si="12"/>
        <v>0</v>
      </c>
      <c r="S18" s="165">
        <f t="shared" si="12"/>
        <v>0</v>
      </c>
      <c r="T18" s="165">
        <f t="shared" si="12"/>
        <v>0</v>
      </c>
      <c r="U18" s="165">
        <f t="shared" si="12"/>
        <v>0</v>
      </c>
      <c r="V18" s="165">
        <f t="shared" si="12"/>
        <v>0</v>
      </c>
      <c r="W18" s="165">
        <f t="shared" si="12"/>
        <v>0</v>
      </c>
      <c r="X18" s="165">
        <f t="shared" si="12"/>
        <v>0</v>
      </c>
      <c r="Y18" s="165">
        <f t="shared" si="12"/>
        <v>0</v>
      </c>
      <c r="Z18" s="165">
        <f t="shared" si="12"/>
        <v>0</v>
      </c>
      <c r="AA18" s="165">
        <f t="shared" ref="AA18:AO18" si="13">SUM(AA19:AA71)</f>
        <v>0</v>
      </c>
      <c r="AB18" s="165">
        <f t="shared" si="13"/>
        <v>0</v>
      </c>
      <c r="AC18" s="165">
        <f t="shared" si="13"/>
        <v>7231887</v>
      </c>
      <c r="AD18" s="165">
        <f t="shared" si="13"/>
        <v>5000000</v>
      </c>
      <c r="AE18" s="165">
        <f t="shared" si="13"/>
        <v>0</v>
      </c>
      <c r="AF18" s="165">
        <f t="shared" ref="AF18" si="14">SUM(AF19:AF71)</f>
        <v>0</v>
      </c>
      <c r="AG18" s="165">
        <f t="shared" ref="AG18" si="15">SUM(AG19:AG71)</f>
        <v>0</v>
      </c>
      <c r="AH18" s="165">
        <f t="shared" si="13"/>
        <v>0</v>
      </c>
      <c r="AI18" s="165">
        <f t="shared" si="13"/>
        <v>0</v>
      </c>
      <c r="AJ18" s="165">
        <f t="shared" si="13"/>
        <v>0</v>
      </c>
      <c r="AK18" s="165">
        <f t="shared" si="13"/>
        <v>0</v>
      </c>
      <c r="AL18" s="165">
        <f t="shared" si="13"/>
        <v>0</v>
      </c>
      <c r="AM18" s="165">
        <f t="shared" si="13"/>
        <v>0</v>
      </c>
      <c r="AN18" s="165">
        <f t="shared" si="13"/>
        <v>0</v>
      </c>
      <c r="AO18" s="165">
        <f t="shared" si="13"/>
        <v>0</v>
      </c>
      <c r="AP18" s="165"/>
      <c r="AQ18" s="165"/>
      <c r="AR18" s="165"/>
      <c r="AS18" s="165"/>
      <c r="AT18" s="165"/>
      <c r="AU18" s="165"/>
      <c r="AV18" s="165"/>
      <c r="AW18" s="165"/>
      <c r="AX18" s="165"/>
      <c r="AY18" s="165"/>
      <c r="AZ18" s="165"/>
      <c r="BA18" s="165"/>
      <c r="BB18" s="165"/>
      <c r="BC18" s="165"/>
      <c r="BD18" s="165"/>
      <c r="BE18" s="165"/>
      <c r="BF18" s="165"/>
      <c r="BG18" s="165"/>
      <c r="BH18" s="165"/>
      <c r="BI18" s="165"/>
      <c r="BJ18" s="165"/>
      <c r="BK18" s="167">
        <f t="shared" si="3"/>
        <v>0</v>
      </c>
      <c r="BL18" s="167">
        <f t="shared" si="4"/>
        <v>0</v>
      </c>
      <c r="BM18" s="167">
        <f t="shared" si="5"/>
        <v>12231887</v>
      </c>
      <c r="BN18" s="167">
        <f t="shared" si="6"/>
        <v>0</v>
      </c>
    </row>
    <row r="19" spans="1:66" s="168" customFormat="1" hidden="1" outlineLevel="2" x14ac:dyDescent="0.3">
      <c r="A19" s="164"/>
      <c r="B19" s="183"/>
      <c r="C19" s="183"/>
      <c r="D19" s="183"/>
      <c r="E19" s="183" t="s">
        <v>20</v>
      </c>
      <c r="F19" s="183" t="s">
        <v>63</v>
      </c>
      <c r="G19" s="183"/>
      <c r="H19" s="183" t="s">
        <v>2618</v>
      </c>
      <c r="I19" s="718">
        <v>0</v>
      </c>
      <c r="J19" s="165">
        <f t="shared" si="0"/>
        <v>0</v>
      </c>
      <c r="K19" s="165">
        <f>+I19-J19</f>
        <v>0</v>
      </c>
      <c r="L19" s="150">
        <f t="shared" si="1"/>
        <v>0</v>
      </c>
      <c r="M19" s="173"/>
      <c r="N19" s="150"/>
      <c r="O19" s="150"/>
      <c r="P19" s="150"/>
      <c r="Q19" s="150"/>
      <c r="R19" s="150"/>
      <c r="S19" s="150"/>
      <c r="T19" s="150"/>
      <c r="U19" s="150"/>
      <c r="V19" s="150"/>
      <c r="W19" s="150"/>
      <c r="X19" s="150"/>
      <c r="Y19" s="150"/>
      <c r="Z19" s="150"/>
      <c r="AA19" s="150"/>
      <c r="AB19" s="150"/>
      <c r="AC19" s="165"/>
      <c r="AD19" s="165"/>
      <c r="AE19" s="165"/>
      <c r="AF19" s="165"/>
      <c r="AG19" s="165"/>
      <c r="AH19" s="165"/>
      <c r="AI19" s="165"/>
      <c r="AJ19" s="165"/>
      <c r="AK19" s="165"/>
      <c r="AL19" s="165"/>
      <c r="AM19" s="165"/>
      <c r="AN19" s="165"/>
      <c r="AO19" s="165"/>
      <c r="AP19" s="165"/>
      <c r="AQ19" s="165"/>
      <c r="AR19" s="165"/>
      <c r="AS19" s="165"/>
      <c r="AT19" s="165"/>
      <c r="AU19" s="165"/>
      <c r="AV19" s="165"/>
      <c r="AW19" s="165"/>
      <c r="AX19" s="165"/>
      <c r="AY19" s="165"/>
      <c r="AZ19" s="165"/>
      <c r="BA19" s="165"/>
      <c r="BB19" s="165"/>
      <c r="BC19" s="167"/>
      <c r="BD19" s="167"/>
      <c r="BE19" s="167"/>
      <c r="BF19" s="167"/>
      <c r="BG19" s="167"/>
      <c r="BH19" s="167"/>
      <c r="BI19" s="167"/>
      <c r="BJ19" s="167"/>
      <c r="BK19" s="167">
        <f t="shared" si="3"/>
        <v>0</v>
      </c>
      <c r="BL19" s="167">
        <f t="shared" si="4"/>
        <v>0</v>
      </c>
      <c r="BM19" s="167">
        <f t="shared" si="5"/>
        <v>0</v>
      </c>
      <c r="BN19" s="167">
        <f t="shared" si="6"/>
        <v>0</v>
      </c>
    </row>
    <row r="20" spans="1:66" s="171" customFormat="1" hidden="1" outlineLevel="2" x14ac:dyDescent="0.3">
      <c r="A20" s="169"/>
      <c r="B20" s="186"/>
      <c r="C20" s="186"/>
      <c r="D20" s="186"/>
      <c r="E20" s="186" t="s">
        <v>20</v>
      </c>
      <c r="F20" s="183" t="s">
        <v>63</v>
      </c>
      <c r="G20" s="186">
        <v>233</v>
      </c>
      <c r="H20" s="186" t="s">
        <v>510</v>
      </c>
      <c r="I20" s="242">
        <f>+J20</f>
        <v>0</v>
      </c>
      <c r="J20" s="150">
        <f t="shared" si="0"/>
        <v>0</v>
      </c>
      <c r="K20" s="150">
        <f t="shared" ref="K20:K92" si="16">+I20-J20</f>
        <v>0</v>
      </c>
      <c r="L20" s="150">
        <f t="shared" si="1"/>
        <v>0</v>
      </c>
      <c r="M20" s="166"/>
      <c r="N20" s="150"/>
      <c r="O20" s="150"/>
      <c r="P20" s="150"/>
      <c r="Q20" s="150"/>
      <c r="R20" s="150"/>
      <c r="S20" s="150"/>
      <c r="T20" s="150"/>
      <c r="U20" s="150"/>
      <c r="V20" s="150"/>
      <c r="W20" s="150"/>
      <c r="X20" s="150"/>
      <c r="Y20" s="150"/>
      <c r="Z20" s="150"/>
      <c r="AA20" s="150"/>
      <c r="AB20" s="150"/>
      <c r="AC20" s="150"/>
      <c r="AD20" s="150"/>
      <c r="AE20" s="150"/>
      <c r="AF20" s="150"/>
      <c r="AG20" s="150"/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70"/>
      <c r="BD20" s="170"/>
      <c r="BE20" s="170"/>
      <c r="BF20" s="170"/>
      <c r="BG20" s="170"/>
      <c r="BH20" s="170"/>
      <c r="BI20" s="170"/>
      <c r="BJ20" s="170"/>
      <c r="BK20" s="167">
        <f t="shared" si="3"/>
        <v>0</v>
      </c>
      <c r="BL20" s="167">
        <f t="shared" si="4"/>
        <v>0</v>
      </c>
      <c r="BM20" s="167">
        <f t="shared" si="5"/>
        <v>0</v>
      </c>
      <c r="BN20" s="167">
        <f t="shared" si="6"/>
        <v>0</v>
      </c>
    </row>
    <row r="21" spans="1:66" s="171" customFormat="1" hidden="1" outlineLevel="2" x14ac:dyDescent="0.3">
      <c r="A21" s="169"/>
      <c r="B21" s="186"/>
      <c r="C21" s="186"/>
      <c r="D21" s="186"/>
      <c r="E21" s="186" t="s">
        <v>20</v>
      </c>
      <c r="F21" s="183" t="s">
        <v>63</v>
      </c>
      <c r="G21" s="186">
        <v>234</v>
      </c>
      <c r="H21" s="186" t="s">
        <v>512</v>
      </c>
      <c r="I21" s="242">
        <f t="shared" ref="I21:I71" si="17">+J21</f>
        <v>0</v>
      </c>
      <c r="J21" s="150">
        <f t="shared" si="0"/>
        <v>0</v>
      </c>
      <c r="K21" s="150">
        <f t="shared" si="16"/>
        <v>0</v>
      </c>
      <c r="L21" s="150">
        <f t="shared" si="1"/>
        <v>0</v>
      </c>
      <c r="M21" s="166"/>
      <c r="N21" s="150"/>
      <c r="O21" s="150"/>
      <c r="P21" s="150"/>
      <c r="Q21" s="150"/>
      <c r="R21" s="150"/>
      <c r="S21" s="150"/>
      <c r="T21" s="150"/>
      <c r="U21" s="150"/>
      <c r="V21" s="150"/>
      <c r="W21" s="150"/>
      <c r="X21" s="150"/>
      <c r="Y21" s="150"/>
      <c r="Z21" s="150"/>
      <c r="AA21" s="150"/>
      <c r="AB21" s="150"/>
      <c r="AC21" s="150"/>
      <c r="AD21" s="150"/>
      <c r="AE21" s="150"/>
      <c r="AF21" s="150"/>
      <c r="AG21" s="150"/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70"/>
      <c r="BD21" s="170"/>
      <c r="BE21" s="170"/>
      <c r="BF21" s="170"/>
      <c r="BG21" s="170"/>
      <c r="BH21" s="170"/>
      <c r="BI21" s="170"/>
      <c r="BJ21" s="170"/>
      <c r="BK21" s="167">
        <f t="shared" si="3"/>
        <v>0</v>
      </c>
      <c r="BL21" s="167">
        <f t="shared" si="4"/>
        <v>0</v>
      </c>
      <c r="BM21" s="167">
        <f t="shared" si="5"/>
        <v>0</v>
      </c>
      <c r="BN21" s="167">
        <f t="shared" si="6"/>
        <v>0</v>
      </c>
    </row>
    <row r="22" spans="1:66" s="171" customFormat="1" hidden="1" outlineLevel="2" x14ac:dyDescent="0.3">
      <c r="A22" s="169"/>
      <c r="B22" s="186"/>
      <c r="C22" s="186"/>
      <c r="D22" s="186"/>
      <c r="E22" s="186" t="s">
        <v>20</v>
      </c>
      <c r="F22" s="183" t="s">
        <v>63</v>
      </c>
      <c r="G22" s="186">
        <v>235</v>
      </c>
      <c r="H22" s="186" t="s">
        <v>513</v>
      </c>
      <c r="I22" s="242">
        <f t="shared" si="17"/>
        <v>0</v>
      </c>
      <c r="J22" s="150">
        <f t="shared" si="0"/>
        <v>0</v>
      </c>
      <c r="K22" s="150">
        <f t="shared" si="16"/>
        <v>0</v>
      </c>
      <c r="L22" s="150">
        <f t="shared" si="1"/>
        <v>0</v>
      </c>
      <c r="M22" s="166"/>
      <c r="N22" s="150"/>
      <c r="O22" s="150"/>
      <c r="P22" s="150"/>
      <c r="Q22" s="150"/>
      <c r="R22" s="150"/>
      <c r="S22" s="150"/>
      <c r="T22" s="150"/>
      <c r="U22" s="150"/>
      <c r="V22" s="150"/>
      <c r="W22" s="150"/>
      <c r="X22" s="150"/>
      <c r="Y22" s="150"/>
      <c r="Z22" s="150"/>
      <c r="AA22" s="150"/>
      <c r="AB22" s="150"/>
      <c r="AC22" s="150"/>
      <c r="AD22" s="150"/>
      <c r="AE22" s="150"/>
      <c r="AF22" s="150"/>
      <c r="AG22" s="150"/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70"/>
      <c r="BD22" s="170"/>
      <c r="BE22" s="170"/>
      <c r="BF22" s="170"/>
      <c r="BG22" s="170"/>
      <c r="BH22" s="170"/>
      <c r="BI22" s="170"/>
      <c r="BJ22" s="170"/>
      <c r="BK22" s="167">
        <f t="shared" si="3"/>
        <v>0</v>
      </c>
      <c r="BL22" s="167">
        <f t="shared" si="4"/>
        <v>0</v>
      </c>
      <c r="BM22" s="167">
        <f t="shared" si="5"/>
        <v>0</v>
      </c>
      <c r="BN22" s="167">
        <f t="shared" si="6"/>
        <v>0</v>
      </c>
    </row>
    <row r="23" spans="1:66" s="171" customFormat="1" hidden="1" outlineLevel="2" x14ac:dyDescent="0.3">
      <c r="A23" s="169"/>
      <c r="B23" s="186"/>
      <c r="C23" s="186"/>
      <c r="D23" s="186"/>
      <c r="E23" s="186" t="s">
        <v>20</v>
      </c>
      <c r="F23" s="183" t="s">
        <v>63</v>
      </c>
      <c r="G23" s="186">
        <v>236</v>
      </c>
      <c r="H23" s="186" t="s">
        <v>514</v>
      </c>
      <c r="I23" s="242">
        <f t="shared" si="17"/>
        <v>0</v>
      </c>
      <c r="J23" s="150">
        <f t="shared" si="0"/>
        <v>0</v>
      </c>
      <c r="K23" s="150">
        <f t="shared" si="16"/>
        <v>0</v>
      </c>
      <c r="L23" s="150">
        <f t="shared" si="1"/>
        <v>0</v>
      </c>
      <c r="M23" s="166"/>
      <c r="N23" s="150"/>
      <c r="O23" s="150"/>
      <c r="P23" s="150"/>
      <c r="Q23" s="150"/>
      <c r="R23" s="150"/>
      <c r="S23" s="150"/>
      <c r="T23" s="150"/>
      <c r="U23" s="150"/>
      <c r="V23" s="150"/>
      <c r="W23" s="150"/>
      <c r="X23" s="150"/>
      <c r="Y23" s="150"/>
      <c r="Z23" s="150"/>
      <c r="AA23" s="150"/>
      <c r="AB23" s="150"/>
      <c r="AC23" s="150"/>
      <c r="AD23" s="150"/>
      <c r="AE23" s="150"/>
      <c r="AF23" s="150"/>
      <c r="AG23" s="150"/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70"/>
      <c r="BD23" s="170"/>
      <c r="BE23" s="170"/>
      <c r="BF23" s="170"/>
      <c r="BG23" s="170"/>
      <c r="BH23" s="170"/>
      <c r="BI23" s="170"/>
      <c r="BJ23" s="170"/>
      <c r="BK23" s="167">
        <f t="shared" si="3"/>
        <v>0</v>
      </c>
      <c r="BL23" s="167">
        <f t="shared" si="4"/>
        <v>0</v>
      </c>
      <c r="BM23" s="167">
        <f t="shared" si="5"/>
        <v>0</v>
      </c>
      <c r="BN23" s="167">
        <f t="shared" si="6"/>
        <v>0</v>
      </c>
    </row>
    <row r="24" spans="1:66" s="171" customFormat="1" hidden="1" outlineLevel="2" x14ac:dyDescent="0.3">
      <c r="A24" s="169"/>
      <c r="B24" s="169"/>
      <c r="C24" s="169"/>
      <c r="D24" s="169"/>
      <c r="E24" s="169" t="s">
        <v>20</v>
      </c>
      <c r="F24" s="164" t="s">
        <v>63</v>
      </c>
      <c r="G24" s="169">
        <v>237</v>
      </c>
      <c r="H24" s="169" t="s">
        <v>516</v>
      </c>
      <c r="I24" s="150">
        <f t="shared" si="17"/>
        <v>0</v>
      </c>
      <c r="J24" s="150">
        <f t="shared" si="0"/>
        <v>0</v>
      </c>
      <c r="K24" s="150">
        <f t="shared" si="16"/>
        <v>0</v>
      </c>
      <c r="L24" s="150">
        <f t="shared" si="1"/>
        <v>0</v>
      </c>
      <c r="M24" s="166"/>
      <c r="N24" s="150"/>
      <c r="O24" s="150"/>
      <c r="P24" s="150"/>
      <c r="Q24" s="150"/>
      <c r="R24" s="150"/>
      <c r="S24" s="150"/>
      <c r="T24" s="150"/>
      <c r="U24" s="150"/>
      <c r="V24" s="150"/>
      <c r="W24" s="150"/>
      <c r="X24" s="150"/>
      <c r="Y24" s="150"/>
      <c r="Z24" s="150"/>
      <c r="AA24" s="150"/>
      <c r="AB24" s="150"/>
      <c r="AC24" s="150"/>
      <c r="AD24" s="150"/>
      <c r="AE24" s="150"/>
      <c r="AF24" s="150"/>
      <c r="AG24" s="150"/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70"/>
      <c r="BD24" s="170"/>
      <c r="BE24" s="170"/>
      <c r="BF24" s="170"/>
      <c r="BG24" s="170"/>
      <c r="BH24" s="170"/>
      <c r="BI24" s="170"/>
      <c r="BJ24" s="170"/>
      <c r="BK24" s="167">
        <f t="shared" si="3"/>
        <v>0</v>
      </c>
      <c r="BL24" s="167">
        <f t="shared" si="4"/>
        <v>0</v>
      </c>
      <c r="BM24" s="167">
        <f t="shared" si="5"/>
        <v>0</v>
      </c>
      <c r="BN24" s="167">
        <f t="shared" si="6"/>
        <v>0</v>
      </c>
    </row>
    <row r="25" spans="1:66" s="171" customFormat="1" hidden="1" outlineLevel="2" x14ac:dyDescent="0.3">
      <c r="A25" s="169"/>
      <c r="B25" s="169"/>
      <c r="C25" s="169"/>
      <c r="D25" s="169"/>
      <c r="E25" s="169" t="s">
        <v>20</v>
      </c>
      <c r="F25" s="164" t="s">
        <v>63</v>
      </c>
      <c r="G25" s="169">
        <v>238</v>
      </c>
      <c r="H25" s="169" t="s">
        <v>518</v>
      </c>
      <c r="I25" s="150">
        <f t="shared" si="17"/>
        <v>0</v>
      </c>
      <c r="J25" s="150">
        <f t="shared" si="0"/>
        <v>0</v>
      </c>
      <c r="K25" s="150">
        <f t="shared" si="16"/>
        <v>0</v>
      </c>
      <c r="L25" s="150">
        <f t="shared" si="1"/>
        <v>0</v>
      </c>
      <c r="M25" s="166"/>
      <c r="N25" s="150"/>
      <c r="O25" s="150"/>
      <c r="P25" s="150"/>
      <c r="Q25" s="150"/>
      <c r="R25" s="150"/>
      <c r="S25" s="150"/>
      <c r="T25" s="150"/>
      <c r="U25" s="150"/>
      <c r="V25" s="150"/>
      <c r="W25" s="150"/>
      <c r="X25" s="150"/>
      <c r="Y25" s="150"/>
      <c r="Z25" s="150"/>
      <c r="AA25" s="150"/>
      <c r="AB25" s="150"/>
      <c r="AC25" s="150"/>
      <c r="AD25" s="150"/>
      <c r="AE25" s="150"/>
      <c r="AF25" s="150"/>
      <c r="AG25" s="150"/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70"/>
      <c r="BD25" s="170"/>
      <c r="BE25" s="170"/>
      <c r="BF25" s="170"/>
      <c r="BG25" s="170"/>
      <c r="BH25" s="170"/>
      <c r="BI25" s="170"/>
      <c r="BJ25" s="170"/>
      <c r="BK25" s="167">
        <f t="shared" si="3"/>
        <v>0</v>
      </c>
      <c r="BL25" s="167">
        <f t="shared" si="4"/>
        <v>0</v>
      </c>
      <c r="BM25" s="167">
        <f t="shared" si="5"/>
        <v>0</v>
      </c>
      <c r="BN25" s="167">
        <f t="shared" si="6"/>
        <v>0</v>
      </c>
    </row>
    <row r="26" spans="1:66" s="171" customFormat="1" hidden="1" outlineLevel="2" x14ac:dyDescent="0.3">
      <c r="A26" s="169"/>
      <c r="B26" s="169"/>
      <c r="C26" s="169"/>
      <c r="D26" s="169"/>
      <c r="E26" s="169" t="s">
        <v>20</v>
      </c>
      <c r="F26" s="164" t="s">
        <v>63</v>
      </c>
      <c r="G26" s="169">
        <v>239</v>
      </c>
      <c r="H26" s="169" t="s">
        <v>520</v>
      </c>
      <c r="I26" s="150">
        <f t="shared" si="17"/>
        <v>0</v>
      </c>
      <c r="J26" s="150">
        <f t="shared" si="0"/>
        <v>0</v>
      </c>
      <c r="K26" s="150">
        <f t="shared" si="16"/>
        <v>0</v>
      </c>
      <c r="L26" s="150">
        <f t="shared" si="1"/>
        <v>0</v>
      </c>
      <c r="M26" s="166"/>
      <c r="N26" s="150"/>
      <c r="O26" s="150"/>
      <c r="P26" s="150"/>
      <c r="Q26" s="150"/>
      <c r="R26" s="150"/>
      <c r="S26" s="150"/>
      <c r="T26" s="150"/>
      <c r="U26" s="150"/>
      <c r="V26" s="150"/>
      <c r="W26" s="150"/>
      <c r="X26" s="150"/>
      <c r="Y26" s="150"/>
      <c r="Z26" s="150"/>
      <c r="AA26" s="150"/>
      <c r="AB26" s="150"/>
      <c r="AC26" s="150"/>
      <c r="AD26" s="150"/>
      <c r="AE26" s="150"/>
      <c r="AF26" s="150"/>
      <c r="AG26" s="150"/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70"/>
      <c r="BD26" s="170"/>
      <c r="BE26" s="170"/>
      <c r="BF26" s="170"/>
      <c r="BG26" s="170"/>
      <c r="BH26" s="170"/>
      <c r="BI26" s="170"/>
      <c r="BJ26" s="170"/>
      <c r="BK26" s="167">
        <f t="shared" si="3"/>
        <v>0</v>
      </c>
      <c r="BL26" s="167">
        <f t="shared" si="4"/>
        <v>0</v>
      </c>
      <c r="BM26" s="167">
        <f t="shared" si="5"/>
        <v>0</v>
      </c>
      <c r="BN26" s="167">
        <f t="shared" si="6"/>
        <v>0</v>
      </c>
    </row>
    <row r="27" spans="1:66" s="171" customFormat="1" hidden="1" outlineLevel="2" x14ac:dyDescent="0.3">
      <c r="A27" s="169"/>
      <c r="B27" s="169"/>
      <c r="C27" s="169"/>
      <c r="D27" s="169"/>
      <c r="E27" s="169" t="s">
        <v>20</v>
      </c>
      <c r="F27" s="164" t="s">
        <v>63</v>
      </c>
      <c r="G27" s="169">
        <v>240</v>
      </c>
      <c r="H27" s="169" t="s">
        <v>522</v>
      </c>
      <c r="I27" s="150">
        <f t="shared" si="17"/>
        <v>7231887</v>
      </c>
      <c r="J27" s="150">
        <f>7231887</f>
        <v>7231887</v>
      </c>
      <c r="K27" s="150">
        <f t="shared" si="16"/>
        <v>0</v>
      </c>
      <c r="L27" s="150">
        <f t="shared" si="1"/>
        <v>7231887</v>
      </c>
      <c r="M27" s="166"/>
      <c r="N27" s="150"/>
      <c r="O27" s="150"/>
      <c r="P27" s="150"/>
      <c r="Q27" s="150"/>
      <c r="R27" s="150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>
        <v>7231887</v>
      </c>
      <c r="AD27" s="150"/>
      <c r="AE27" s="150"/>
      <c r="AF27" s="150"/>
      <c r="AG27" s="150"/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70"/>
      <c r="BD27" s="170"/>
      <c r="BE27" s="170"/>
      <c r="BF27" s="170"/>
      <c r="BG27" s="170"/>
      <c r="BH27" s="170"/>
      <c r="BI27" s="170"/>
      <c r="BJ27" s="170"/>
      <c r="BK27" s="167">
        <f t="shared" si="3"/>
        <v>0</v>
      </c>
      <c r="BL27" s="167">
        <f t="shared" si="4"/>
        <v>0</v>
      </c>
      <c r="BM27" s="167">
        <f t="shared" si="5"/>
        <v>7231887</v>
      </c>
      <c r="BN27" s="167">
        <f t="shared" si="6"/>
        <v>0</v>
      </c>
    </row>
    <row r="28" spans="1:66" s="171" customFormat="1" hidden="1" outlineLevel="2" x14ac:dyDescent="0.3">
      <c r="A28" s="169"/>
      <c r="B28" s="169"/>
      <c r="C28" s="169"/>
      <c r="D28" s="169"/>
      <c r="E28" s="169" t="s">
        <v>20</v>
      </c>
      <c r="F28" s="164" t="s">
        <v>63</v>
      </c>
      <c r="G28" s="169">
        <v>241</v>
      </c>
      <c r="H28" s="169" t="s">
        <v>523</v>
      </c>
      <c r="I28" s="150"/>
      <c r="J28" s="150"/>
      <c r="K28" s="150">
        <f t="shared" si="16"/>
        <v>0</v>
      </c>
      <c r="L28" s="150">
        <f t="shared" si="1"/>
        <v>0</v>
      </c>
      <c r="M28" s="166"/>
      <c r="N28" s="150"/>
      <c r="O28" s="150"/>
      <c r="P28" s="150"/>
      <c r="Q28" s="150"/>
      <c r="R28" s="150"/>
      <c r="S28" s="150"/>
      <c r="T28" s="150"/>
      <c r="U28" s="150"/>
      <c r="V28" s="150"/>
      <c r="W28" s="150"/>
      <c r="X28" s="150"/>
      <c r="Y28" s="150"/>
      <c r="Z28" s="150"/>
      <c r="AA28" s="150"/>
      <c r="AB28" s="150"/>
      <c r="AC28" s="150"/>
      <c r="AD28" s="150"/>
      <c r="AE28" s="150"/>
      <c r="AF28" s="150"/>
      <c r="AG28" s="150"/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70"/>
      <c r="BD28" s="170"/>
      <c r="BE28" s="170"/>
      <c r="BF28" s="170"/>
      <c r="BG28" s="170"/>
      <c r="BH28" s="170"/>
      <c r="BI28" s="170"/>
      <c r="BJ28" s="170"/>
      <c r="BK28" s="167">
        <f t="shared" si="3"/>
        <v>0</v>
      </c>
      <c r="BL28" s="167">
        <f t="shared" si="4"/>
        <v>0</v>
      </c>
      <c r="BM28" s="167">
        <f t="shared" si="5"/>
        <v>0</v>
      </c>
      <c r="BN28" s="167">
        <f t="shared" si="6"/>
        <v>0</v>
      </c>
    </row>
    <row r="29" spans="1:66" s="171" customFormat="1" hidden="1" outlineLevel="2" x14ac:dyDescent="0.3">
      <c r="A29" s="169"/>
      <c r="B29" s="169"/>
      <c r="C29" s="169"/>
      <c r="D29" s="169"/>
      <c r="E29" s="169" t="s">
        <v>20</v>
      </c>
      <c r="F29" s="164" t="s">
        <v>63</v>
      </c>
      <c r="G29" s="169">
        <v>242</v>
      </c>
      <c r="H29" s="169" t="s">
        <v>524</v>
      </c>
      <c r="I29" s="150">
        <f t="shared" si="17"/>
        <v>0</v>
      </c>
      <c r="J29" s="150">
        <f t="shared" si="0"/>
        <v>0</v>
      </c>
      <c r="K29" s="150">
        <f t="shared" si="16"/>
        <v>0</v>
      </c>
      <c r="L29" s="150">
        <f t="shared" si="1"/>
        <v>0</v>
      </c>
      <c r="M29" s="166"/>
      <c r="N29" s="150"/>
      <c r="O29" s="150"/>
      <c r="P29" s="150"/>
      <c r="Q29" s="150"/>
      <c r="R29" s="150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  <c r="AF29" s="150"/>
      <c r="AG29" s="150"/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70"/>
      <c r="BD29" s="170"/>
      <c r="BE29" s="170"/>
      <c r="BF29" s="170"/>
      <c r="BG29" s="170"/>
      <c r="BH29" s="170"/>
      <c r="BI29" s="170"/>
      <c r="BJ29" s="170"/>
      <c r="BK29" s="167">
        <f t="shared" si="3"/>
        <v>0</v>
      </c>
      <c r="BL29" s="167">
        <f t="shared" si="4"/>
        <v>0</v>
      </c>
      <c r="BM29" s="167">
        <f t="shared" si="5"/>
        <v>0</v>
      </c>
      <c r="BN29" s="167">
        <f t="shared" si="6"/>
        <v>0</v>
      </c>
    </row>
    <row r="30" spans="1:66" s="171" customFormat="1" hidden="1" outlineLevel="2" x14ac:dyDescent="0.3">
      <c r="A30" s="169"/>
      <c r="B30" s="169"/>
      <c r="C30" s="169"/>
      <c r="D30" s="169"/>
      <c r="E30" s="169" t="s">
        <v>20</v>
      </c>
      <c r="F30" s="164" t="s">
        <v>63</v>
      </c>
      <c r="G30" s="169">
        <v>243</v>
      </c>
      <c r="H30" s="169" t="s">
        <v>525</v>
      </c>
      <c r="I30" s="150">
        <f t="shared" si="17"/>
        <v>0</v>
      </c>
      <c r="J30" s="150">
        <f t="shared" si="0"/>
        <v>0</v>
      </c>
      <c r="K30" s="150">
        <f t="shared" si="16"/>
        <v>0</v>
      </c>
      <c r="L30" s="150">
        <f t="shared" si="1"/>
        <v>0</v>
      </c>
      <c r="M30" s="166"/>
      <c r="N30" s="150"/>
      <c r="O30" s="150"/>
      <c r="P30" s="150"/>
      <c r="Q30" s="150"/>
      <c r="R30" s="150"/>
      <c r="S30" s="150"/>
      <c r="T30" s="150"/>
      <c r="U30" s="150"/>
      <c r="V30" s="150"/>
      <c r="W30" s="150"/>
      <c r="X30" s="150"/>
      <c r="Y30" s="150"/>
      <c r="Z30" s="150"/>
      <c r="AA30" s="150"/>
      <c r="AB30" s="150"/>
      <c r="AC30" s="150"/>
      <c r="AD30" s="150"/>
      <c r="AE30" s="150"/>
      <c r="AF30" s="150"/>
      <c r="AG30" s="150"/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70"/>
      <c r="BD30" s="170"/>
      <c r="BE30" s="170"/>
      <c r="BF30" s="170"/>
      <c r="BG30" s="170"/>
      <c r="BH30" s="170"/>
      <c r="BI30" s="170"/>
      <c r="BJ30" s="170"/>
      <c r="BK30" s="167">
        <f t="shared" si="3"/>
        <v>0</v>
      </c>
      <c r="BL30" s="167">
        <f t="shared" si="4"/>
        <v>0</v>
      </c>
      <c r="BM30" s="167">
        <f t="shared" si="5"/>
        <v>0</v>
      </c>
      <c r="BN30" s="167">
        <f t="shared" si="6"/>
        <v>0</v>
      </c>
    </row>
    <row r="31" spans="1:66" s="171" customFormat="1" hidden="1" outlineLevel="2" x14ac:dyDescent="0.3">
      <c r="A31" s="169"/>
      <c r="B31" s="169"/>
      <c r="C31" s="169"/>
      <c r="D31" s="169"/>
      <c r="E31" s="169" t="s">
        <v>20</v>
      </c>
      <c r="F31" s="164" t="s">
        <v>63</v>
      </c>
      <c r="G31" s="169">
        <v>244</v>
      </c>
      <c r="H31" s="169" t="s">
        <v>527</v>
      </c>
      <c r="I31" s="150">
        <f t="shared" si="17"/>
        <v>0</v>
      </c>
      <c r="J31" s="150">
        <f t="shared" si="0"/>
        <v>0</v>
      </c>
      <c r="K31" s="150">
        <f t="shared" si="16"/>
        <v>0</v>
      </c>
      <c r="L31" s="150">
        <f t="shared" si="1"/>
        <v>0</v>
      </c>
      <c r="M31" s="166"/>
      <c r="N31" s="150"/>
      <c r="O31" s="150"/>
      <c r="P31" s="150"/>
      <c r="Q31" s="150"/>
      <c r="R31" s="150"/>
      <c r="S31" s="150"/>
      <c r="T31" s="150"/>
      <c r="U31" s="150"/>
      <c r="V31" s="150"/>
      <c r="W31" s="150"/>
      <c r="X31" s="150"/>
      <c r="Y31" s="150"/>
      <c r="Z31" s="150"/>
      <c r="AA31" s="150"/>
      <c r="AB31" s="150"/>
      <c r="AC31" s="150"/>
      <c r="AD31" s="150"/>
      <c r="AE31" s="150"/>
      <c r="AF31" s="150"/>
      <c r="AG31" s="150"/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70"/>
      <c r="BD31" s="170"/>
      <c r="BE31" s="170"/>
      <c r="BF31" s="170"/>
      <c r="BG31" s="170"/>
      <c r="BH31" s="170"/>
      <c r="BI31" s="170"/>
      <c r="BJ31" s="170"/>
      <c r="BK31" s="167">
        <f t="shared" si="3"/>
        <v>0</v>
      </c>
      <c r="BL31" s="167">
        <f t="shared" si="4"/>
        <v>0</v>
      </c>
      <c r="BM31" s="167">
        <f t="shared" si="5"/>
        <v>0</v>
      </c>
      <c r="BN31" s="167">
        <f t="shared" si="6"/>
        <v>0</v>
      </c>
    </row>
    <row r="32" spans="1:66" s="171" customFormat="1" hidden="1" outlineLevel="2" x14ac:dyDescent="0.3">
      <c r="A32" s="169"/>
      <c r="B32" s="169"/>
      <c r="C32" s="169"/>
      <c r="D32" s="169"/>
      <c r="E32" s="169" t="s">
        <v>20</v>
      </c>
      <c r="F32" s="164" t="s">
        <v>63</v>
      </c>
      <c r="G32" s="169">
        <v>245</v>
      </c>
      <c r="H32" s="169" t="s">
        <v>528</v>
      </c>
      <c r="I32" s="150">
        <f t="shared" si="17"/>
        <v>0</v>
      </c>
      <c r="J32" s="150">
        <f t="shared" si="0"/>
        <v>0</v>
      </c>
      <c r="K32" s="150">
        <f t="shared" si="16"/>
        <v>0</v>
      </c>
      <c r="L32" s="150">
        <f t="shared" si="1"/>
        <v>0</v>
      </c>
      <c r="M32" s="166"/>
      <c r="N32" s="150"/>
      <c r="O32" s="150"/>
      <c r="P32" s="150"/>
      <c r="Q32" s="150"/>
      <c r="R32" s="150"/>
      <c r="S32" s="150"/>
      <c r="T32" s="150"/>
      <c r="U32" s="150"/>
      <c r="V32" s="150"/>
      <c r="W32" s="150"/>
      <c r="X32" s="150"/>
      <c r="Y32" s="150"/>
      <c r="Z32" s="150"/>
      <c r="AA32" s="150"/>
      <c r="AB32" s="150"/>
      <c r="AC32" s="150"/>
      <c r="AD32" s="150"/>
      <c r="AE32" s="150"/>
      <c r="AF32" s="150"/>
      <c r="AG32" s="150"/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70"/>
      <c r="BD32" s="170"/>
      <c r="BE32" s="170"/>
      <c r="BF32" s="170"/>
      <c r="BG32" s="170"/>
      <c r="BH32" s="170"/>
      <c r="BI32" s="170"/>
      <c r="BJ32" s="170"/>
      <c r="BK32" s="167">
        <f t="shared" si="3"/>
        <v>0</v>
      </c>
      <c r="BL32" s="167">
        <f t="shared" si="4"/>
        <v>0</v>
      </c>
      <c r="BM32" s="167">
        <f t="shared" si="5"/>
        <v>0</v>
      </c>
      <c r="BN32" s="167">
        <f t="shared" si="6"/>
        <v>0</v>
      </c>
    </row>
    <row r="33" spans="1:66" s="171" customFormat="1" hidden="1" outlineLevel="2" x14ac:dyDescent="0.3">
      <c r="A33" s="169"/>
      <c r="B33" s="169"/>
      <c r="C33" s="169"/>
      <c r="D33" s="169"/>
      <c r="E33" s="169" t="s">
        <v>20</v>
      </c>
      <c r="F33" s="164" t="s">
        <v>63</v>
      </c>
      <c r="G33" s="169">
        <v>246</v>
      </c>
      <c r="H33" s="169" t="s">
        <v>529</v>
      </c>
      <c r="I33" s="150">
        <f t="shared" si="17"/>
        <v>0</v>
      </c>
      <c r="J33" s="150">
        <f t="shared" si="0"/>
        <v>0</v>
      </c>
      <c r="K33" s="150">
        <f t="shared" si="16"/>
        <v>0</v>
      </c>
      <c r="L33" s="150">
        <f t="shared" si="1"/>
        <v>0</v>
      </c>
      <c r="M33" s="166"/>
      <c r="N33" s="150"/>
      <c r="O33" s="150"/>
      <c r="P33" s="150"/>
      <c r="Q33" s="150"/>
      <c r="R33" s="150"/>
      <c r="S33" s="150"/>
      <c r="T33" s="150"/>
      <c r="U33" s="150"/>
      <c r="V33" s="150"/>
      <c r="W33" s="150"/>
      <c r="X33" s="150"/>
      <c r="Y33" s="150"/>
      <c r="Z33" s="150"/>
      <c r="AA33" s="150"/>
      <c r="AB33" s="150"/>
      <c r="AC33" s="150"/>
      <c r="AD33" s="150"/>
      <c r="AE33" s="150"/>
      <c r="AF33" s="150"/>
      <c r="AG33" s="150"/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70"/>
      <c r="BD33" s="170"/>
      <c r="BE33" s="170"/>
      <c r="BF33" s="170"/>
      <c r="BG33" s="170"/>
      <c r="BH33" s="170"/>
      <c r="BI33" s="170"/>
      <c r="BJ33" s="170"/>
      <c r="BK33" s="167">
        <f t="shared" si="3"/>
        <v>0</v>
      </c>
      <c r="BL33" s="167">
        <f t="shared" si="4"/>
        <v>0</v>
      </c>
      <c r="BM33" s="167">
        <f t="shared" si="5"/>
        <v>0</v>
      </c>
      <c r="BN33" s="167">
        <f t="shared" si="6"/>
        <v>0</v>
      </c>
    </row>
    <row r="34" spans="1:66" s="171" customFormat="1" hidden="1" outlineLevel="2" x14ac:dyDescent="0.3">
      <c r="A34" s="169"/>
      <c r="B34" s="169"/>
      <c r="C34" s="169"/>
      <c r="D34" s="169"/>
      <c r="E34" s="169" t="s">
        <v>20</v>
      </c>
      <c r="F34" s="164" t="s">
        <v>63</v>
      </c>
      <c r="G34" s="169">
        <v>247</v>
      </c>
      <c r="H34" s="169" t="s">
        <v>530</v>
      </c>
      <c r="I34" s="150">
        <f t="shared" si="17"/>
        <v>0</v>
      </c>
      <c r="J34" s="150">
        <f t="shared" si="0"/>
        <v>0</v>
      </c>
      <c r="K34" s="150">
        <f t="shared" si="16"/>
        <v>0</v>
      </c>
      <c r="L34" s="150">
        <f t="shared" si="1"/>
        <v>0</v>
      </c>
      <c r="M34" s="166"/>
      <c r="N34" s="150"/>
      <c r="O34" s="150"/>
      <c r="P34" s="150"/>
      <c r="Q34" s="150"/>
      <c r="R34" s="150"/>
      <c r="S34" s="150"/>
      <c r="T34" s="150"/>
      <c r="U34" s="150"/>
      <c r="V34" s="150"/>
      <c r="W34" s="150"/>
      <c r="X34" s="150"/>
      <c r="Y34" s="150"/>
      <c r="Z34" s="150"/>
      <c r="AA34" s="150"/>
      <c r="AB34" s="150"/>
      <c r="AC34" s="150"/>
      <c r="AD34" s="150"/>
      <c r="AE34" s="150"/>
      <c r="AF34" s="150"/>
      <c r="AG34" s="150"/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70"/>
      <c r="BD34" s="170"/>
      <c r="BE34" s="170"/>
      <c r="BF34" s="170"/>
      <c r="BG34" s="170"/>
      <c r="BH34" s="170"/>
      <c r="BI34" s="170"/>
      <c r="BJ34" s="170"/>
      <c r="BK34" s="167">
        <f t="shared" si="3"/>
        <v>0</v>
      </c>
      <c r="BL34" s="167">
        <f t="shared" si="4"/>
        <v>0</v>
      </c>
      <c r="BM34" s="167">
        <f t="shared" si="5"/>
        <v>0</v>
      </c>
      <c r="BN34" s="167">
        <f t="shared" si="6"/>
        <v>0</v>
      </c>
    </row>
    <row r="35" spans="1:66" s="171" customFormat="1" hidden="1" outlineLevel="2" x14ac:dyDescent="0.3">
      <c r="A35" s="169"/>
      <c r="B35" s="169"/>
      <c r="C35" s="169"/>
      <c r="D35" s="169"/>
      <c r="E35" s="169" t="s">
        <v>20</v>
      </c>
      <c r="F35" s="164" t="s">
        <v>63</v>
      </c>
      <c r="G35" s="169">
        <v>248</v>
      </c>
      <c r="H35" s="169" t="s">
        <v>531</v>
      </c>
      <c r="I35" s="150">
        <f t="shared" si="17"/>
        <v>0</v>
      </c>
      <c r="J35" s="150">
        <f t="shared" si="0"/>
        <v>0</v>
      </c>
      <c r="K35" s="150">
        <f t="shared" si="16"/>
        <v>0</v>
      </c>
      <c r="L35" s="150">
        <f t="shared" si="1"/>
        <v>0</v>
      </c>
      <c r="M35" s="166"/>
      <c r="N35" s="150"/>
      <c r="O35" s="150"/>
      <c r="P35" s="150"/>
      <c r="Q35" s="150"/>
      <c r="R35" s="150"/>
      <c r="S35" s="150"/>
      <c r="T35" s="150"/>
      <c r="U35" s="150"/>
      <c r="V35" s="150"/>
      <c r="W35" s="150"/>
      <c r="X35" s="150"/>
      <c r="Y35" s="150"/>
      <c r="Z35" s="150"/>
      <c r="AA35" s="150"/>
      <c r="AB35" s="150"/>
      <c r="AC35" s="150"/>
      <c r="AD35" s="150"/>
      <c r="AE35" s="150"/>
      <c r="AF35" s="150"/>
      <c r="AG35" s="150"/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70"/>
      <c r="BD35" s="170"/>
      <c r="BE35" s="170"/>
      <c r="BF35" s="170"/>
      <c r="BG35" s="170"/>
      <c r="BH35" s="170"/>
      <c r="BI35" s="170"/>
      <c r="BJ35" s="170"/>
      <c r="BK35" s="167">
        <f t="shared" si="3"/>
        <v>0</v>
      </c>
      <c r="BL35" s="167">
        <f t="shared" si="4"/>
        <v>0</v>
      </c>
      <c r="BM35" s="167">
        <f t="shared" si="5"/>
        <v>0</v>
      </c>
      <c r="BN35" s="167">
        <f t="shared" si="6"/>
        <v>0</v>
      </c>
    </row>
    <row r="36" spans="1:66" s="171" customFormat="1" hidden="1" outlineLevel="2" x14ac:dyDescent="0.3">
      <c r="A36" s="169"/>
      <c r="B36" s="169"/>
      <c r="C36" s="169"/>
      <c r="D36" s="169"/>
      <c r="E36" s="169" t="s">
        <v>20</v>
      </c>
      <c r="F36" s="164" t="s">
        <v>63</v>
      </c>
      <c r="G36" s="169">
        <v>249</v>
      </c>
      <c r="H36" s="169" t="s">
        <v>533</v>
      </c>
      <c r="I36" s="150">
        <f t="shared" si="17"/>
        <v>0</v>
      </c>
      <c r="J36" s="150">
        <f t="shared" ref="J36:J67" si="18">SUM(N36:AO36)</f>
        <v>0</v>
      </c>
      <c r="K36" s="150">
        <f t="shared" si="16"/>
        <v>0</v>
      </c>
      <c r="L36" s="150">
        <f t="shared" ref="L36:L67" si="19">SUM(N36:BJ36)</f>
        <v>0</v>
      </c>
      <c r="M36" s="166"/>
      <c r="N36" s="150"/>
      <c r="O36" s="150"/>
      <c r="P36" s="150"/>
      <c r="Q36" s="150"/>
      <c r="R36" s="150"/>
      <c r="S36" s="150"/>
      <c r="T36" s="150"/>
      <c r="U36" s="150"/>
      <c r="V36" s="150"/>
      <c r="W36" s="150"/>
      <c r="X36" s="150"/>
      <c r="Y36" s="150"/>
      <c r="Z36" s="150"/>
      <c r="AA36" s="150"/>
      <c r="AB36" s="150"/>
      <c r="AC36" s="150"/>
      <c r="AD36" s="150"/>
      <c r="AE36" s="150"/>
      <c r="AF36" s="150"/>
      <c r="AG36" s="150"/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70"/>
      <c r="BD36" s="170"/>
      <c r="BE36" s="170"/>
      <c r="BF36" s="170"/>
      <c r="BG36" s="170"/>
      <c r="BH36" s="170"/>
      <c r="BI36" s="170"/>
      <c r="BJ36" s="170"/>
      <c r="BK36" s="167">
        <f t="shared" ref="BK36:BK67" si="20">+SUM(N36:AA36)</f>
        <v>0</v>
      </c>
      <c r="BL36" s="167">
        <f t="shared" ref="BL36:BL67" si="21">+AB36</f>
        <v>0</v>
      </c>
      <c r="BM36" s="167">
        <f t="shared" ref="BM36:BM67" si="22">+SUM(AC36:AO36)</f>
        <v>0</v>
      </c>
      <c r="BN36" s="167">
        <f t="shared" ref="BN36:BN67" si="23">+SUM(AP36:BJ36)</f>
        <v>0</v>
      </c>
    </row>
    <row r="37" spans="1:66" s="171" customFormat="1" hidden="1" outlineLevel="2" x14ac:dyDescent="0.3">
      <c r="A37" s="169"/>
      <c r="B37" s="169"/>
      <c r="C37" s="169"/>
      <c r="D37" s="169"/>
      <c r="E37" s="169" t="s">
        <v>20</v>
      </c>
      <c r="F37" s="164" t="s">
        <v>63</v>
      </c>
      <c r="G37" s="169">
        <v>250</v>
      </c>
      <c r="H37" s="169" t="s">
        <v>535</v>
      </c>
      <c r="I37" s="150">
        <f t="shared" si="17"/>
        <v>0</v>
      </c>
      <c r="J37" s="150">
        <f t="shared" si="18"/>
        <v>0</v>
      </c>
      <c r="K37" s="150">
        <f t="shared" si="16"/>
        <v>0</v>
      </c>
      <c r="L37" s="150">
        <f t="shared" si="19"/>
        <v>0</v>
      </c>
      <c r="M37" s="166"/>
      <c r="N37" s="150"/>
      <c r="O37" s="150"/>
      <c r="P37" s="150"/>
      <c r="Q37" s="150"/>
      <c r="R37" s="150"/>
      <c r="S37" s="150"/>
      <c r="T37" s="150"/>
      <c r="U37" s="150"/>
      <c r="V37" s="150"/>
      <c r="W37" s="150"/>
      <c r="X37" s="150"/>
      <c r="Y37" s="150"/>
      <c r="Z37" s="150"/>
      <c r="AA37" s="150"/>
      <c r="AB37" s="150"/>
      <c r="AC37" s="150"/>
      <c r="AD37" s="150"/>
      <c r="AE37" s="150"/>
      <c r="AF37" s="150"/>
      <c r="AG37" s="150"/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70"/>
      <c r="BD37" s="170"/>
      <c r="BE37" s="170"/>
      <c r="BF37" s="170"/>
      <c r="BG37" s="170"/>
      <c r="BH37" s="170"/>
      <c r="BI37" s="170"/>
      <c r="BJ37" s="170"/>
      <c r="BK37" s="167">
        <f t="shared" si="20"/>
        <v>0</v>
      </c>
      <c r="BL37" s="167">
        <f t="shared" si="21"/>
        <v>0</v>
      </c>
      <c r="BM37" s="167">
        <f t="shared" si="22"/>
        <v>0</v>
      </c>
      <c r="BN37" s="167">
        <f t="shared" si="23"/>
        <v>0</v>
      </c>
    </row>
    <row r="38" spans="1:66" s="171" customFormat="1" hidden="1" outlineLevel="2" x14ac:dyDescent="0.3">
      <c r="A38" s="169"/>
      <c r="B38" s="169"/>
      <c r="C38" s="169"/>
      <c r="D38" s="169"/>
      <c r="E38" s="169" t="s">
        <v>20</v>
      </c>
      <c r="F38" s="164" t="s">
        <v>63</v>
      </c>
      <c r="G38" s="169">
        <v>251</v>
      </c>
      <c r="H38" s="169" t="s">
        <v>537</v>
      </c>
      <c r="I38" s="150">
        <f t="shared" si="17"/>
        <v>0</v>
      </c>
      <c r="J38" s="150">
        <f t="shared" si="18"/>
        <v>0</v>
      </c>
      <c r="K38" s="150">
        <f t="shared" si="16"/>
        <v>0</v>
      </c>
      <c r="L38" s="150">
        <f t="shared" si="19"/>
        <v>0</v>
      </c>
      <c r="M38" s="166"/>
      <c r="N38" s="150"/>
      <c r="O38" s="150"/>
      <c r="P38" s="150"/>
      <c r="Q38" s="150"/>
      <c r="R38" s="150"/>
      <c r="S38" s="150"/>
      <c r="T38" s="150"/>
      <c r="U38" s="150"/>
      <c r="V38" s="150"/>
      <c r="W38" s="150"/>
      <c r="X38" s="150"/>
      <c r="Y38" s="150"/>
      <c r="Z38" s="150"/>
      <c r="AA38" s="150"/>
      <c r="AB38" s="150"/>
      <c r="AC38" s="150"/>
      <c r="AD38" s="150"/>
      <c r="AE38" s="150"/>
      <c r="AF38" s="150"/>
      <c r="AG38" s="150"/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70"/>
      <c r="BD38" s="170"/>
      <c r="BE38" s="170"/>
      <c r="BF38" s="170"/>
      <c r="BG38" s="170"/>
      <c r="BH38" s="170"/>
      <c r="BI38" s="170"/>
      <c r="BJ38" s="170"/>
      <c r="BK38" s="167">
        <f t="shared" si="20"/>
        <v>0</v>
      </c>
      <c r="BL38" s="167">
        <f t="shared" si="21"/>
        <v>0</v>
      </c>
      <c r="BM38" s="167">
        <f t="shared" si="22"/>
        <v>0</v>
      </c>
      <c r="BN38" s="167">
        <f t="shared" si="23"/>
        <v>0</v>
      </c>
    </row>
    <row r="39" spans="1:66" s="171" customFormat="1" hidden="1" outlineLevel="2" x14ac:dyDescent="0.3">
      <c r="A39" s="169"/>
      <c r="B39" s="169"/>
      <c r="C39" s="169"/>
      <c r="D39" s="169"/>
      <c r="E39" s="169" t="s">
        <v>20</v>
      </c>
      <c r="F39" s="164" t="s">
        <v>63</v>
      </c>
      <c r="G39" s="169">
        <v>252</v>
      </c>
      <c r="H39" s="169" t="s">
        <v>539</v>
      </c>
      <c r="I39" s="150">
        <f t="shared" si="17"/>
        <v>0</v>
      </c>
      <c r="J39" s="150">
        <f t="shared" si="18"/>
        <v>0</v>
      </c>
      <c r="K39" s="150">
        <f t="shared" si="16"/>
        <v>0</v>
      </c>
      <c r="L39" s="150">
        <f t="shared" si="19"/>
        <v>0</v>
      </c>
      <c r="M39" s="166"/>
      <c r="N39" s="150"/>
      <c r="O39" s="150"/>
      <c r="P39" s="150"/>
      <c r="Q39" s="150"/>
      <c r="R39" s="150"/>
      <c r="S39" s="150"/>
      <c r="T39" s="150"/>
      <c r="U39" s="150"/>
      <c r="V39" s="150"/>
      <c r="W39" s="150"/>
      <c r="X39" s="150"/>
      <c r="Y39" s="150"/>
      <c r="Z39" s="150"/>
      <c r="AA39" s="150"/>
      <c r="AB39" s="150"/>
      <c r="AC39" s="150"/>
      <c r="AD39" s="150"/>
      <c r="AE39" s="150"/>
      <c r="AF39" s="150"/>
      <c r="AG39" s="150"/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70"/>
      <c r="BD39" s="170"/>
      <c r="BE39" s="170"/>
      <c r="BF39" s="170"/>
      <c r="BG39" s="170"/>
      <c r="BH39" s="170"/>
      <c r="BI39" s="170"/>
      <c r="BJ39" s="170"/>
      <c r="BK39" s="167">
        <f t="shared" si="20"/>
        <v>0</v>
      </c>
      <c r="BL39" s="167">
        <f t="shared" si="21"/>
        <v>0</v>
      </c>
      <c r="BM39" s="167">
        <f t="shared" si="22"/>
        <v>0</v>
      </c>
      <c r="BN39" s="167">
        <f t="shared" si="23"/>
        <v>0</v>
      </c>
    </row>
    <row r="40" spans="1:66" s="171" customFormat="1" hidden="1" outlineLevel="2" x14ac:dyDescent="0.3">
      <c r="A40" s="169"/>
      <c r="B40" s="169"/>
      <c r="C40" s="169"/>
      <c r="D40" s="169"/>
      <c r="E40" s="169" t="s">
        <v>20</v>
      </c>
      <c r="F40" s="164" t="s">
        <v>63</v>
      </c>
      <c r="G40" s="169">
        <v>253</v>
      </c>
      <c r="H40" s="169" t="s">
        <v>541</v>
      </c>
      <c r="I40" s="150">
        <f t="shared" si="17"/>
        <v>0</v>
      </c>
      <c r="J40" s="150">
        <f t="shared" si="18"/>
        <v>0</v>
      </c>
      <c r="K40" s="150">
        <f t="shared" si="16"/>
        <v>0</v>
      </c>
      <c r="L40" s="150">
        <f t="shared" si="19"/>
        <v>0</v>
      </c>
      <c r="M40" s="166"/>
      <c r="N40" s="150"/>
      <c r="O40" s="150"/>
      <c r="P40" s="150"/>
      <c r="Q40" s="150"/>
      <c r="R40" s="150"/>
      <c r="S40" s="150"/>
      <c r="T40" s="150"/>
      <c r="U40" s="150"/>
      <c r="V40" s="150"/>
      <c r="W40" s="150"/>
      <c r="X40" s="150"/>
      <c r="Y40" s="150"/>
      <c r="Z40" s="150"/>
      <c r="AA40" s="150"/>
      <c r="AB40" s="150"/>
      <c r="AC40" s="150"/>
      <c r="AD40" s="150"/>
      <c r="AE40" s="150"/>
      <c r="AF40" s="150"/>
      <c r="AG40" s="150"/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70"/>
      <c r="BD40" s="170"/>
      <c r="BE40" s="170"/>
      <c r="BF40" s="170"/>
      <c r="BG40" s="170"/>
      <c r="BH40" s="170"/>
      <c r="BI40" s="170"/>
      <c r="BJ40" s="170"/>
      <c r="BK40" s="167">
        <f t="shared" si="20"/>
        <v>0</v>
      </c>
      <c r="BL40" s="167">
        <f t="shared" si="21"/>
        <v>0</v>
      </c>
      <c r="BM40" s="167">
        <f t="shared" si="22"/>
        <v>0</v>
      </c>
      <c r="BN40" s="167">
        <f t="shared" si="23"/>
        <v>0</v>
      </c>
    </row>
    <row r="41" spans="1:66" s="171" customFormat="1" hidden="1" outlineLevel="2" x14ac:dyDescent="0.3">
      <c r="A41" s="169"/>
      <c r="B41" s="169"/>
      <c r="C41" s="169"/>
      <c r="D41" s="169"/>
      <c r="E41" s="169" t="s">
        <v>20</v>
      </c>
      <c r="F41" s="164" t="s">
        <v>63</v>
      </c>
      <c r="G41" s="169">
        <v>254</v>
      </c>
      <c r="H41" s="169" t="s">
        <v>542</v>
      </c>
      <c r="I41" s="150">
        <f t="shared" si="17"/>
        <v>0</v>
      </c>
      <c r="J41" s="150">
        <f t="shared" si="18"/>
        <v>0</v>
      </c>
      <c r="K41" s="150">
        <f t="shared" si="16"/>
        <v>0</v>
      </c>
      <c r="L41" s="150">
        <f t="shared" si="19"/>
        <v>0</v>
      </c>
      <c r="M41" s="166"/>
      <c r="N41" s="150"/>
      <c r="O41" s="150"/>
      <c r="P41" s="150"/>
      <c r="Q41" s="150"/>
      <c r="R41" s="150"/>
      <c r="S41" s="150"/>
      <c r="T41" s="150"/>
      <c r="U41" s="150"/>
      <c r="V41" s="150"/>
      <c r="W41" s="150"/>
      <c r="X41" s="150"/>
      <c r="Y41" s="150"/>
      <c r="Z41" s="150"/>
      <c r="AA41" s="150"/>
      <c r="AB41" s="150"/>
      <c r="AC41" s="150"/>
      <c r="AD41" s="150"/>
      <c r="AE41" s="150"/>
      <c r="AF41" s="150"/>
      <c r="AG41" s="150"/>
      <c r="AH41" s="150"/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70"/>
      <c r="BD41" s="170"/>
      <c r="BE41" s="170"/>
      <c r="BF41" s="170"/>
      <c r="BG41" s="170"/>
      <c r="BH41" s="170"/>
      <c r="BI41" s="170"/>
      <c r="BJ41" s="170"/>
      <c r="BK41" s="167">
        <f t="shared" si="20"/>
        <v>0</v>
      </c>
      <c r="BL41" s="167">
        <f t="shared" si="21"/>
        <v>0</v>
      </c>
      <c r="BM41" s="167">
        <f t="shared" si="22"/>
        <v>0</v>
      </c>
      <c r="BN41" s="167">
        <f t="shared" si="23"/>
        <v>0</v>
      </c>
    </row>
    <row r="42" spans="1:66" s="171" customFormat="1" hidden="1" outlineLevel="2" x14ac:dyDescent="0.3">
      <c r="A42" s="169"/>
      <c r="B42" s="169"/>
      <c r="C42" s="169"/>
      <c r="D42" s="169"/>
      <c r="E42" s="169" t="s">
        <v>20</v>
      </c>
      <c r="F42" s="164" t="s">
        <v>63</v>
      </c>
      <c r="G42" s="169">
        <v>255</v>
      </c>
      <c r="H42" s="169" t="s">
        <v>543</v>
      </c>
      <c r="I42" s="150">
        <f t="shared" si="17"/>
        <v>0</v>
      </c>
      <c r="J42" s="150">
        <f t="shared" si="18"/>
        <v>0</v>
      </c>
      <c r="K42" s="150">
        <f t="shared" si="16"/>
        <v>0</v>
      </c>
      <c r="L42" s="150">
        <f t="shared" si="19"/>
        <v>0</v>
      </c>
      <c r="M42" s="166"/>
      <c r="N42" s="150"/>
      <c r="O42" s="150"/>
      <c r="P42" s="150"/>
      <c r="Q42" s="150"/>
      <c r="R42" s="150"/>
      <c r="S42" s="150"/>
      <c r="T42" s="150"/>
      <c r="U42" s="150"/>
      <c r="V42" s="150"/>
      <c r="W42" s="150"/>
      <c r="X42" s="150"/>
      <c r="Y42" s="150"/>
      <c r="Z42" s="150"/>
      <c r="AA42" s="150"/>
      <c r="AB42" s="150"/>
      <c r="AC42" s="150"/>
      <c r="AD42" s="150"/>
      <c r="AE42" s="150"/>
      <c r="AF42" s="150"/>
      <c r="AG42" s="150"/>
      <c r="AH42" s="150"/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70"/>
      <c r="BD42" s="170"/>
      <c r="BE42" s="170"/>
      <c r="BF42" s="170"/>
      <c r="BG42" s="170"/>
      <c r="BH42" s="170"/>
      <c r="BI42" s="170"/>
      <c r="BJ42" s="170"/>
      <c r="BK42" s="167">
        <f t="shared" si="20"/>
        <v>0</v>
      </c>
      <c r="BL42" s="167">
        <f t="shared" si="21"/>
        <v>0</v>
      </c>
      <c r="BM42" s="167">
        <f t="shared" si="22"/>
        <v>0</v>
      </c>
      <c r="BN42" s="167">
        <f t="shared" si="23"/>
        <v>0</v>
      </c>
    </row>
    <row r="43" spans="1:66" s="171" customFormat="1" hidden="1" outlineLevel="2" x14ac:dyDescent="0.3">
      <c r="A43" s="169"/>
      <c r="B43" s="169"/>
      <c r="C43" s="169"/>
      <c r="D43" s="169"/>
      <c r="E43" s="169" t="s">
        <v>20</v>
      </c>
      <c r="F43" s="164" t="s">
        <v>63</v>
      </c>
      <c r="G43" s="169">
        <v>256</v>
      </c>
      <c r="H43" s="169" t="s">
        <v>545</v>
      </c>
      <c r="I43" s="150">
        <f t="shared" si="17"/>
        <v>2000000</v>
      </c>
      <c r="J43" s="150">
        <f t="shared" si="18"/>
        <v>2000000</v>
      </c>
      <c r="K43" s="150">
        <f t="shared" si="16"/>
        <v>0</v>
      </c>
      <c r="L43" s="150">
        <f t="shared" si="19"/>
        <v>2000000</v>
      </c>
      <c r="M43" s="166"/>
      <c r="N43" s="150"/>
      <c r="O43" s="150"/>
      <c r="P43" s="150"/>
      <c r="Q43" s="150"/>
      <c r="R43" s="150"/>
      <c r="S43" s="150"/>
      <c r="T43" s="150"/>
      <c r="U43" s="150"/>
      <c r="V43" s="150"/>
      <c r="W43" s="150"/>
      <c r="X43" s="150"/>
      <c r="Y43" s="150"/>
      <c r="Z43" s="150"/>
      <c r="AA43" s="150"/>
      <c r="AB43" s="150"/>
      <c r="AC43" s="150"/>
      <c r="AD43" s="150">
        <v>2000000</v>
      </c>
      <c r="AE43" s="150"/>
      <c r="AF43" s="150"/>
      <c r="AG43" s="150"/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70"/>
      <c r="BD43" s="170"/>
      <c r="BE43" s="170"/>
      <c r="BF43" s="170"/>
      <c r="BG43" s="170"/>
      <c r="BH43" s="170"/>
      <c r="BI43" s="170"/>
      <c r="BJ43" s="170"/>
      <c r="BK43" s="167">
        <f t="shared" si="20"/>
        <v>0</v>
      </c>
      <c r="BL43" s="167">
        <f t="shared" si="21"/>
        <v>0</v>
      </c>
      <c r="BM43" s="167">
        <f t="shared" si="22"/>
        <v>2000000</v>
      </c>
      <c r="BN43" s="167">
        <f t="shared" si="23"/>
        <v>0</v>
      </c>
    </row>
    <row r="44" spans="1:66" s="171" customFormat="1" hidden="1" outlineLevel="2" x14ac:dyDescent="0.3">
      <c r="A44" s="169"/>
      <c r="B44" s="169"/>
      <c r="C44" s="169"/>
      <c r="D44" s="169"/>
      <c r="E44" s="169" t="s">
        <v>20</v>
      </c>
      <c r="F44" s="164" t="s">
        <v>63</v>
      </c>
      <c r="G44" s="169">
        <v>257</v>
      </c>
      <c r="H44" s="169" t="s">
        <v>547</v>
      </c>
      <c r="I44" s="150">
        <f t="shared" si="17"/>
        <v>1000000</v>
      </c>
      <c r="J44" s="150">
        <f t="shared" si="18"/>
        <v>1000000</v>
      </c>
      <c r="K44" s="150">
        <f t="shared" si="16"/>
        <v>0</v>
      </c>
      <c r="L44" s="150">
        <f t="shared" si="19"/>
        <v>1000000</v>
      </c>
      <c r="M44" s="166"/>
      <c r="N44" s="150"/>
      <c r="O44" s="150"/>
      <c r="P44" s="150"/>
      <c r="Q44" s="150"/>
      <c r="R44" s="150"/>
      <c r="S44" s="150"/>
      <c r="T44" s="150"/>
      <c r="U44" s="150"/>
      <c r="V44" s="150"/>
      <c r="W44" s="150"/>
      <c r="X44" s="150"/>
      <c r="Y44" s="150"/>
      <c r="Z44" s="150"/>
      <c r="AA44" s="150"/>
      <c r="AB44" s="150"/>
      <c r="AC44" s="150"/>
      <c r="AD44" s="150">
        <v>1000000</v>
      </c>
      <c r="AE44" s="150"/>
      <c r="AF44" s="150"/>
      <c r="AG44" s="150"/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70"/>
      <c r="BD44" s="170"/>
      <c r="BE44" s="170"/>
      <c r="BF44" s="170"/>
      <c r="BG44" s="170"/>
      <c r="BH44" s="170"/>
      <c r="BI44" s="170"/>
      <c r="BJ44" s="170"/>
      <c r="BK44" s="167">
        <f t="shared" si="20"/>
        <v>0</v>
      </c>
      <c r="BL44" s="167">
        <f t="shared" si="21"/>
        <v>0</v>
      </c>
      <c r="BM44" s="167">
        <f t="shared" si="22"/>
        <v>1000000</v>
      </c>
      <c r="BN44" s="167">
        <f t="shared" si="23"/>
        <v>0</v>
      </c>
    </row>
    <row r="45" spans="1:66" s="171" customFormat="1" hidden="1" outlineLevel="2" x14ac:dyDescent="0.3">
      <c r="A45" s="169"/>
      <c r="B45" s="169"/>
      <c r="C45" s="169"/>
      <c r="D45" s="169"/>
      <c r="E45" s="169" t="s">
        <v>20</v>
      </c>
      <c r="F45" s="164" t="s">
        <v>63</v>
      </c>
      <c r="G45" s="169">
        <v>258</v>
      </c>
      <c r="H45" s="169" t="s">
        <v>548</v>
      </c>
      <c r="I45" s="150">
        <f t="shared" si="17"/>
        <v>0</v>
      </c>
      <c r="J45" s="150">
        <f t="shared" si="18"/>
        <v>0</v>
      </c>
      <c r="K45" s="150">
        <f t="shared" si="16"/>
        <v>0</v>
      </c>
      <c r="L45" s="150">
        <f t="shared" si="19"/>
        <v>0</v>
      </c>
      <c r="M45" s="166"/>
      <c r="N45" s="150"/>
      <c r="O45" s="150"/>
      <c r="P45" s="150"/>
      <c r="Q45" s="150"/>
      <c r="R45" s="150"/>
      <c r="S45" s="150"/>
      <c r="T45" s="150"/>
      <c r="U45" s="150"/>
      <c r="V45" s="150"/>
      <c r="W45" s="150"/>
      <c r="X45" s="150"/>
      <c r="Y45" s="150"/>
      <c r="Z45" s="150"/>
      <c r="AA45" s="150"/>
      <c r="AB45" s="150"/>
      <c r="AC45" s="150"/>
      <c r="AD45" s="150"/>
      <c r="AE45" s="150"/>
      <c r="AF45" s="150"/>
      <c r="AG45" s="150"/>
      <c r="AH45" s="150"/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70"/>
      <c r="BD45" s="170"/>
      <c r="BE45" s="170"/>
      <c r="BF45" s="170"/>
      <c r="BG45" s="170"/>
      <c r="BH45" s="170"/>
      <c r="BI45" s="170"/>
      <c r="BJ45" s="170"/>
      <c r="BK45" s="167">
        <f t="shared" si="20"/>
        <v>0</v>
      </c>
      <c r="BL45" s="167">
        <f t="shared" si="21"/>
        <v>0</v>
      </c>
      <c r="BM45" s="167">
        <f t="shared" si="22"/>
        <v>0</v>
      </c>
      <c r="BN45" s="167">
        <f t="shared" si="23"/>
        <v>0</v>
      </c>
    </row>
    <row r="46" spans="1:66" s="171" customFormat="1" hidden="1" outlineLevel="2" x14ac:dyDescent="0.3">
      <c r="A46" s="169"/>
      <c r="B46" s="169"/>
      <c r="C46" s="169"/>
      <c r="D46" s="169"/>
      <c r="E46" s="169" t="s">
        <v>20</v>
      </c>
      <c r="F46" s="164" t="s">
        <v>63</v>
      </c>
      <c r="G46" s="169">
        <v>259</v>
      </c>
      <c r="H46" s="169" t="s">
        <v>549</v>
      </c>
      <c r="I46" s="150">
        <f t="shared" si="17"/>
        <v>1000000</v>
      </c>
      <c r="J46" s="150">
        <f t="shared" si="18"/>
        <v>1000000</v>
      </c>
      <c r="K46" s="150">
        <f t="shared" si="16"/>
        <v>0</v>
      </c>
      <c r="L46" s="150">
        <f t="shared" si="19"/>
        <v>1000000</v>
      </c>
      <c r="M46" s="166"/>
      <c r="N46" s="150"/>
      <c r="O46" s="150"/>
      <c r="P46" s="150"/>
      <c r="Q46" s="150"/>
      <c r="R46" s="150"/>
      <c r="S46" s="150"/>
      <c r="T46" s="150"/>
      <c r="U46" s="150"/>
      <c r="V46" s="150"/>
      <c r="W46" s="150"/>
      <c r="X46" s="150"/>
      <c r="Y46" s="150"/>
      <c r="Z46" s="150"/>
      <c r="AA46" s="150"/>
      <c r="AB46" s="150"/>
      <c r="AC46" s="150"/>
      <c r="AD46" s="150">
        <v>1000000</v>
      </c>
      <c r="AE46" s="150"/>
      <c r="AF46" s="150"/>
      <c r="AG46" s="150"/>
      <c r="AH46" s="150"/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70"/>
      <c r="BD46" s="170"/>
      <c r="BE46" s="170"/>
      <c r="BF46" s="170"/>
      <c r="BG46" s="170"/>
      <c r="BH46" s="170"/>
      <c r="BI46" s="170"/>
      <c r="BJ46" s="170"/>
      <c r="BK46" s="167">
        <f t="shared" si="20"/>
        <v>0</v>
      </c>
      <c r="BL46" s="167">
        <f t="shared" si="21"/>
        <v>0</v>
      </c>
      <c r="BM46" s="167">
        <f t="shared" si="22"/>
        <v>1000000</v>
      </c>
      <c r="BN46" s="167">
        <f t="shared" si="23"/>
        <v>0</v>
      </c>
    </row>
    <row r="47" spans="1:66" s="171" customFormat="1" hidden="1" outlineLevel="2" x14ac:dyDescent="0.3">
      <c r="A47" s="169"/>
      <c r="B47" s="169"/>
      <c r="C47" s="169"/>
      <c r="D47" s="169"/>
      <c r="E47" s="169" t="s">
        <v>20</v>
      </c>
      <c r="F47" s="164" t="s">
        <v>63</v>
      </c>
      <c r="G47" s="169">
        <v>260</v>
      </c>
      <c r="H47" s="169" t="s">
        <v>550</v>
      </c>
      <c r="I47" s="150">
        <f t="shared" si="17"/>
        <v>0</v>
      </c>
      <c r="J47" s="150">
        <f t="shared" si="18"/>
        <v>0</v>
      </c>
      <c r="K47" s="150">
        <f t="shared" si="16"/>
        <v>0</v>
      </c>
      <c r="L47" s="150">
        <f t="shared" si="19"/>
        <v>0</v>
      </c>
      <c r="M47" s="166"/>
      <c r="N47" s="150"/>
      <c r="O47" s="150"/>
      <c r="P47" s="150"/>
      <c r="Q47" s="150"/>
      <c r="R47" s="150"/>
      <c r="S47" s="150"/>
      <c r="T47" s="150"/>
      <c r="U47" s="150"/>
      <c r="V47" s="150"/>
      <c r="W47" s="150"/>
      <c r="X47" s="150"/>
      <c r="Y47" s="150"/>
      <c r="Z47" s="150"/>
      <c r="AA47" s="150"/>
      <c r="AB47" s="150"/>
      <c r="AC47" s="150"/>
      <c r="AD47" s="150"/>
      <c r="AE47" s="150"/>
      <c r="AF47" s="150"/>
      <c r="AG47" s="150"/>
      <c r="AH47" s="150"/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70"/>
      <c r="BD47" s="170"/>
      <c r="BE47" s="170"/>
      <c r="BF47" s="170"/>
      <c r="BG47" s="170"/>
      <c r="BH47" s="170"/>
      <c r="BI47" s="170"/>
      <c r="BJ47" s="170"/>
      <c r="BK47" s="167">
        <f t="shared" si="20"/>
        <v>0</v>
      </c>
      <c r="BL47" s="167">
        <f t="shared" si="21"/>
        <v>0</v>
      </c>
      <c r="BM47" s="167">
        <f t="shared" si="22"/>
        <v>0</v>
      </c>
      <c r="BN47" s="167">
        <f t="shared" si="23"/>
        <v>0</v>
      </c>
    </row>
    <row r="48" spans="1:66" s="171" customFormat="1" hidden="1" outlineLevel="2" x14ac:dyDescent="0.3">
      <c r="A48" s="169"/>
      <c r="B48" s="169"/>
      <c r="C48" s="169"/>
      <c r="D48" s="169"/>
      <c r="E48" s="169" t="s">
        <v>20</v>
      </c>
      <c r="F48" s="164" t="s">
        <v>63</v>
      </c>
      <c r="G48" s="169">
        <v>261</v>
      </c>
      <c r="H48" s="169" t="s">
        <v>551</v>
      </c>
      <c r="I48" s="150">
        <f t="shared" si="17"/>
        <v>0</v>
      </c>
      <c r="J48" s="150">
        <f t="shared" si="18"/>
        <v>0</v>
      </c>
      <c r="K48" s="150">
        <f t="shared" si="16"/>
        <v>0</v>
      </c>
      <c r="L48" s="150">
        <f t="shared" si="19"/>
        <v>0</v>
      </c>
      <c r="M48" s="166"/>
      <c r="N48" s="150"/>
      <c r="O48" s="150"/>
      <c r="P48" s="150"/>
      <c r="Q48" s="150"/>
      <c r="R48" s="150"/>
      <c r="S48" s="150"/>
      <c r="T48" s="150"/>
      <c r="U48" s="150"/>
      <c r="V48" s="150"/>
      <c r="W48" s="150"/>
      <c r="X48" s="150"/>
      <c r="Y48" s="150"/>
      <c r="Z48" s="150"/>
      <c r="AA48" s="150"/>
      <c r="AB48" s="150"/>
      <c r="AC48" s="150"/>
      <c r="AD48" s="150"/>
      <c r="AE48" s="150"/>
      <c r="AF48" s="150"/>
      <c r="AG48" s="150"/>
      <c r="AH48" s="150"/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70"/>
      <c r="BD48" s="170"/>
      <c r="BE48" s="170"/>
      <c r="BF48" s="170"/>
      <c r="BG48" s="170"/>
      <c r="BH48" s="170"/>
      <c r="BI48" s="170"/>
      <c r="BJ48" s="170"/>
      <c r="BK48" s="167">
        <f t="shared" si="20"/>
        <v>0</v>
      </c>
      <c r="BL48" s="167">
        <f t="shared" si="21"/>
        <v>0</v>
      </c>
      <c r="BM48" s="167">
        <f t="shared" si="22"/>
        <v>0</v>
      </c>
      <c r="BN48" s="167">
        <f t="shared" si="23"/>
        <v>0</v>
      </c>
    </row>
    <row r="49" spans="1:66" s="171" customFormat="1" hidden="1" outlineLevel="2" x14ac:dyDescent="0.3">
      <c r="A49" s="169"/>
      <c r="B49" s="169"/>
      <c r="C49" s="169"/>
      <c r="D49" s="169"/>
      <c r="E49" s="169" t="s">
        <v>20</v>
      </c>
      <c r="F49" s="164" t="s">
        <v>63</v>
      </c>
      <c r="G49" s="169">
        <v>262</v>
      </c>
      <c r="H49" s="169" t="s">
        <v>552</v>
      </c>
      <c r="I49" s="150">
        <f t="shared" si="17"/>
        <v>0</v>
      </c>
      <c r="J49" s="150">
        <f t="shared" si="18"/>
        <v>0</v>
      </c>
      <c r="K49" s="150">
        <f t="shared" si="16"/>
        <v>0</v>
      </c>
      <c r="L49" s="150">
        <f t="shared" si="19"/>
        <v>0</v>
      </c>
      <c r="M49" s="166"/>
      <c r="N49" s="150"/>
      <c r="O49" s="150"/>
      <c r="P49" s="150"/>
      <c r="Q49" s="150"/>
      <c r="R49" s="150"/>
      <c r="S49" s="150"/>
      <c r="T49" s="150"/>
      <c r="U49" s="150"/>
      <c r="V49" s="150"/>
      <c r="W49" s="150"/>
      <c r="X49" s="150"/>
      <c r="Y49" s="150"/>
      <c r="Z49" s="150"/>
      <c r="AA49" s="150"/>
      <c r="AB49" s="150"/>
      <c r="AC49" s="150"/>
      <c r="AD49" s="150"/>
      <c r="AE49" s="150"/>
      <c r="AF49" s="150"/>
      <c r="AG49" s="150"/>
      <c r="AH49" s="150"/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70"/>
      <c r="BD49" s="170"/>
      <c r="BE49" s="170"/>
      <c r="BF49" s="170"/>
      <c r="BG49" s="170"/>
      <c r="BH49" s="170"/>
      <c r="BI49" s="170"/>
      <c r="BJ49" s="170"/>
      <c r="BK49" s="167">
        <f t="shared" si="20"/>
        <v>0</v>
      </c>
      <c r="BL49" s="167">
        <f t="shared" si="21"/>
        <v>0</v>
      </c>
      <c r="BM49" s="167">
        <f t="shared" si="22"/>
        <v>0</v>
      </c>
      <c r="BN49" s="167">
        <f t="shared" si="23"/>
        <v>0</v>
      </c>
    </row>
    <row r="50" spans="1:66" s="171" customFormat="1" hidden="1" outlineLevel="2" x14ac:dyDescent="0.3">
      <c r="A50" s="169"/>
      <c r="B50" s="169"/>
      <c r="C50" s="169"/>
      <c r="D50" s="169"/>
      <c r="E50" s="169" t="s">
        <v>20</v>
      </c>
      <c r="F50" s="164" t="s">
        <v>63</v>
      </c>
      <c r="G50" s="169">
        <v>263</v>
      </c>
      <c r="H50" s="169" t="s">
        <v>553</v>
      </c>
      <c r="I50" s="150">
        <f t="shared" si="17"/>
        <v>0</v>
      </c>
      <c r="J50" s="150">
        <f t="shared" si="18"/>
        <v>0</v>
      </c>
      <c r="K50" s="150">
        <f t="shared" si="16"/>
        <v>0</v>
      </c>
      <c r="L50" s="150">
        <f t="shared" si="19"/>
        <v>0</v>
      </c>
      <c r="M50" s="166"/>
      <c r="N50" s="150"/>
      <c r="O50" s="150"/>
      <c r="P50" s="150"/>
      <c r="Q50" s="150"/>
      <c r="R50" s="150"/>
      <c r="S50" s="150"/>
      <c r="T50" s="150"/>
      <c r="U50" s="150"/>
      <c r="V50" s="150"/>
      <c r="W50" s="150"/>
      <c r="X50" s="150"/>
      <c r="Y50" s="150"/>
      <c r="Z50" s="150"/>
      <c r="AA50" s="150"/>
      <c r="AB50" s="150"/>
      <c r="AC50" s="150"/>
      <c r="AD50" s="150"/>
      <c r="AE50" s="150"/>
      <c r="AF50" s="150"/>
      <c r="AG50" s="150"/>
      <c r="AH50" s="150"/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70"/>
      <c r="BD50" s="170"/>
      <c r="BE50" s="170"/>
      <c r="BF50" s="170"/>
      <c r="BG50" s="170"/>
      <c r="BH50" s="170"/>
      <c r="BI50" s="170"/>
      <c r="BJ50" s="170"/>
      <c r="BK50" s="167">
        <f t="shared" si="20"/>
        <v>0</v>
      </c>
      <c r="BL50" s="167">
        <f t="shared" si="21"/>
        <v>0</v>
      </c>
      <c r="BM50" s="167">
        <f t="shared" si="22"/>
        <v>0</v>
      </c>
      <c r="BN50" s="167">
        <f t="shared" si="23"/>
        <v>0</v>
      </c>
    </row>
    <row r="51" spans="1:66" s="171" customFormat="1" hidden="1" outlineLevel="2" x14ac:dyDescent="0.3">
      <c r="A51" s="169"/>
      <c r="B51" s="169"/>
      <c r="C51" s="169"/>
      <c r="D51" s="169"/>
      <c r="E51" s="169" t="s">
        <v>20</v>
      </c>
      <c r="F51" s="164" t="s">
        <v>63</v>
      </c>
      <c r="G51" s="169">
        <v>264</v>
      </c>
      <c r="H51" s="169" t="s">
        <v>554</v>
      </c>
      <c r="I51" s="150">
        <f t="shared" si="17"/>
        <v>0</v>
      </c>
      <c r="J51" s="150">
        <f t="shared" si="18"/>
        <v>0</v>
      </c>
      <c r="K51" s="150">
        <f t="shared" si="16"/>
        <v>0</v>
      </c>
      <c r="L51" s="150">
        <f t="shared" si="19"/>
        <v>0</v>
      </c>
      <c r="M51" s="166"/>
      <c r="N51" s="150"/>
      <c r="O51" s="150"/>
      <c r="P51" s="150"/>
      <c r="Q51" s="150"/>
      <c r="R51" s="150"/>
      <c r="S51" s="150"/>
      <c r="T51" s="150"/>
      <c r="U51" s="150"/>
      <c r="V51" s="150"/>
      <c r="W51" s="150"/>
      <c r="X51" s="150"/>
      <c r="Y51" s="150"/>
      <c r="Z51" s="150"/>
      <c r="AA51" s="150"/>
      <c r="AB51" s="150"/>
      <c r="AC51" s="150"/>
      <c r="AD51" s="150"/>
      <c r="AE51" s="150"/>
      <c r="AF51" s="150"/>
      <c r="AG51" s="150"/>
      <c r="AH51" s="150"/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70"/>
      <c r="BD51" s="170"/>
      <c r="BE51" s="170"/>
      <c r="BF51" s="170"/>
      <c r="BG51" s="170"/>
      <c r="BH51" s="170"/>
      <c r="BI51" s="170"/>
      <c r="BJ51" s="170"/>
      <c r="BK51" s="167">
        <f t="shared" si="20"/>
        <v>0</v>
      </c>
      <c r="BL51" s="167">
        <f t="shared" si="21"/>
        <v>0</v>
      </c>
      <c r="BM51" s="167">
        <f t="shared" si="22"/>
        <v>0</v>
      </c>
      <c r="BN51" s="167">
        <f t="shared" si="23"/>
        <v>0</v>
      </c>
    </row>
    <row r="52" spans="1:66" s="171" customFormat="1" hidden="1" outlineLevel="2" x14ac:dyDescent="0.3">
      <c r="A52" s="169"/>
      <c r="B52" s="169"/>
      <c r="C52" s="169"/>
      <c r="D52" s="169"/>
      <c r="E52" s="169" t="s">
        <v>20</v>
      </c>
      <c r="F52" s="164" t="s">
        <v>63</v>
      </c>
      <c r="G52" s="169">
        <v>265</v>
      </c>
      <c r="H52" s="169" t="s">
        <v>555</v>
      </c>
      <c r="I52" s="150">
        <f t="shared" si="17"/>
        <v>0</v>
      </c>
      <c r="J52" s="150">
        <f t="shared" si="18"/>
        <v>0</v>
      </c>
      <c r="K52" s="150">
        <f t="shared" si="16"/>
        <v>0</v>
      </c>
      <c r="L52" s="150">
        <f t="shared" si="19"/>
        <v>0</v>
      </c>
      <c r="M52" s="166"/>
      <c r="N52" s="150"/>
      <c r="O52" s="150"/>
      <c r="P52" s="150"/>
      <c r="Q52" s="150"/>
      <c r="R52" s="150"/>
      <c r="S52" s="150"/>
      <c r="T52" s="150"/>
      <c r="U52" s="150"/>
      <c r="V52" s="150"/>
      <c r="W52" s="150"/>
      <c r="X52" s="150"/>
      <c r="Y52" s="150"/>
      <c r="Z52" s="150"/>
      <c r="AA52" s="150"/>
      <c r="AB52" s="150"/>
      <c r="AC52" s="150"/>
      <c r="AD52" s="150"/>
      <c r="AE52" s="150"/>
      <c r="AF52" s="150"/>
      <c r="AG52" s="150"/>
      <c r="AH52" s="150"/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70"/>
      <c r="BD52" s="170"/>
      <c r="BE52" s="170"/>
      <c r="BF52" s="170"/>
      <c r="BG52" s="170"/>
      <c r="BH52" s="170"/>
      <c r="BI52" s="170"/>
      <c r="BJ52" s="170"/>
      <c r="BK52" s="167">
        <f t="shared" si="20"/>
        <v>0</v>
      </c>
      <c r="BL52" s="167">
        <f t="shared" si="21"/>
        <v>0</v>
      </c>
      <c r="BM52" s="167">
        <f t="shared" si="22"/>
        <v>0</v>
      </c>
      <c r="BN52" s="167">
        <f t="shared" si="23"/>
        <v>0</v>
      </c>
    </row>
    <row r="53" spans="1:66" s="171" customFormat="1" hidden="1" outlineLevel="2" x14ac:dyDescent="0.3">
      <c r="A53" s="169"/>
      <c r="B53" s="169"/>
      <c r="C53" s="169"/>
      <c r="D53" s="169"/>
      <c r="E53" s="169" t="s">
        <v>20</v>
      </c>
      <c r="F53" s="164" t="s">
        <v>63</v>
      </c>
      <c r="G53" s="169">
        <v>266</v>
      </c>
      <c r="H53" s="169" t="s">
        <v>556</v>
      </c>
      <c r="I53" s="150">
        <f t="shared" si="17"/>
        <v>0</v>
      </c>
      <c r="J53" s="150">
        <f t="shared" si="18"/>
        <v>0</v>
      </c>
      <c r="K53" s="150">
        <f t="shared" si="16"/>
        <v>0</v>
      </c>
      <c r="L53" s="150">
        <f t="shared" si="19"/>
        <v>0</v>
      </c>
      <c r="M53" s="166"/>
      <c r="N53" s="150"/>
      <c r="O53" s="150"/>
      <c r="P53" s="150"/>
      <c r="Q53" s="150"/>
      <c r="R53" s="150"/>
      <c r="S53" s="150"/>
      <c r="T53" s="150"/>
      <c r="U53" s="150"/>
      <c r="V53" s="150"/>
      <c r="W53" s="150"/>
      <c r="X53" s="150"/>
      <c r="Y53" s="150"/>
      <c r="Z53" s="150"/>
      <c r="AA53" s="150"/>
      <c r="AB53" s="150"/>
      <c r="AC53" s="150"/>
      <c r="AD53" s="150"/>
      <c r="AE53" s="150"/>
      <c r="AF53" s="150"/>
      <c r="AG53" s="150"/>
      <c r="AH53" s="150"/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70"/>
      <c r="BD53" s="170"/>
      <c r="BE53" s="170"/>
      <c r="BF53" s="170"/>
      <c r="BG53" s="170"/>
      <c r="BH53" s="170"/>
      <c r="BI53" s="170"/>
      <c r="BJ53" s="170"/>
      <c r="BK53" s="167">
        <f t="shared" si="20"/>
        <v>0</v>
      </c>
      <c r="BL53" s="167">
        <f t="shared" si="21"/>
        <v>0</v>
      </c>
      <c r="BM53" s="167">
        <f t="shared" si="22"/>
        <v>0</v>
      </c>
      <c r="BN53" s="167">
        <f t="shared" si="23"/>
        <v>0</v>
      </c>
    </row>
    <row r="54" spans="1:66" s="171" customFormat="1" hidden="1" outlineLevel="2" x14ac:dyDescent="0.3">
      <c r="A54" s="169"/>
      <c r="B54" s="169"/>
      <c r="C54" s="169"/>
      <c r="D54" s="169"/>
      <c r="E54" s="169" t="s">
        <v>20</v>
      </c>
      <c r="F54" s="164" t="s">
        <v>63</v>
      </c>
      <c r="G54" s="169">
        <v>267</v>
      </c>
      <c r="H54" s="169" t="s">
        <v>557</v>
      </c>
      <c r="I54" s="150">
        <f t="shared" si="17"/>
        <v>1000000</v>
      </c>
      <c r="J54" s="150">
        <f t="shared" si="18"/>
        <v>1000000</v>
      </c>
      <c r="K54" s="150">
        <f t="shared" si="16"/>
        <v>0</v>
      </c>
      <c r="L54" s="150">
        <f t="shared" si="19"/>
        <v>1000000</v>
      </c>
      <c r="M54" s="166"/>
      <c r="N54" s="150"/>
      <c r="O54" s="150"/>
      <c r="P54" s="150"/>
      <c r="Q54" s="150"/>
      <c r="R54" s="150"/>
      <c r="S54" s="150"/>
      <c r="T54" s="150"/>
      <c r="U54" s="150"/>
      <c r="V54" s="150"/>
      <c r="W54" s="150"/>
      <c r="X54" s="150"/>
      <c r="Y54" s="150"/>
      <c r="Z54" s="150"/>
      <c r="AA54" s="150"/>
      <c r="AB54" s="150"/>
      <c r="AC54" s="150"/>
      <c r="AD54" s="150">
        <v>1000000</v>
      </c>
      <c r="AE54" s="150"/>
      <c r="AF54" s="150"/>
      <c r="AG54" s="150"/>
      <c r="AH54" s="150"/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70"/>
      <c r="BD54" s="170"/>
      <c r="BE54" s="170"/>
      <c r="BF54" s="170"/>
      <c r="BG54" s="170"/>
      <c r="BH54" s="170"/>
      <c r="BI54" s="170"/>
      <c r="BJ54" s="170"/>
      <c r="BK54" s="167">
        <f t="shared" si="20"/>
        <v>0</v>
      </c>
      <c r="BL54" s="167">
        <f t="shared" si="21"/>
        <v>0</v>
      </c>
      <c r="BM54" s="167">
        <f t="shared" si="22"/>
        <v>1000000</v>
      </c>
      <c r="BN54" s="167">
        <f t="shared" si="23"/>
        <v>0</v>
      </c>
    </row>
    <row r="55" spans="1:66" s="171" customFormat="1" hidden="1" outlineLevel="2" x14ac:dyDescent="0.3">
      <c r="A55" s="169"/>
      <c r="B55" s="169"/>
      <c r="C55" s="169"/>
      <c r="D55" s="169"/>
      <c r="E55" s="169" t="s">
        <v>20</v>
      </c>
      <c r="F55" s="164" t="s">
        <v>63</v>
      </c>
      <c r="G55" s="169">
        <v>268</v>
      </c>
      <c r="H55" s="169" t="s">
        <v>558</v>
      </c>
      <c r="I55" s="150">
        <f t="shared" si="17"/>
        <v>0</v>
      </c>
      <c r="J55" s="150">
        <f t="shared" si="18"/>
        <v>0</v>
      </c>
      <c r="K55" s="150">
        <f t="shared" si="16"/>
        <v>0</v>
      </c>
      <c r="L55" s="150">
        <f t="shared" si="19"/>
        <v>0</v>
      </c>
      <c r="M55" s="166"/>
      <c r="N55" s="150"/>
      <c r="O55" s="150"/>
      <c r="P55" s="150"/>
      <c r="Q55" s="150"/>
      <c r="R55" s="150"/>
      <c r="S55" s="150"/>
      <c r="T55" s="150"/>
      <c r="U55" s="150"/>
      <c r="V55" s="150"/>
      <c r="W55" s="150"/>
      <c r="X55" s="150"/>
      <c r="Y55" s="150"/>
      <c r="Z55" s="150"/>
      <c r="AA55" s="150"/>
      <c r="AB55" s="150"/>
      <c r="AC55" s="150"/>
      <c r="AD55" s="150"/>
      <c r="AE55" s="150"/>
      <c r="AF55" s="150"/>
      <c r="AG55" s="150"/>
      <c r="AH55" s="150"/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70"/>
      <c r="BD55" s="170"/>
      <c r="BE55" s="170"/>
      <c r="BF55" s="170"/>
      <c r="BG55" s="170"/>
      <c r="BH55" s="170"/>
      <c r="BI55" s="170"/>
      <c r="BJ55" s="170"/>
      <c r="BK55" s="167">
        <f t="shared" si="20"/>
        <v>0</v>
      </c>
      <c r="BL55" s="167">
        <f t="shared" si="21"/>
        <v>0</v>
      </c>
      <c r="BM55" s="167">
        <f t="shared" si="22"/>
        <v>0</v>
      </c>
      <c r="BN55" s="167">
        <f t="shared" si="23"/>
        <v>0</v>
      </c>
    </row>
    <row r="56" spans="1:66" s="171" customFormat="1" hidden="1" outlineLevel="2" x14ac:dyDescent="0.3">
      <c r="A56" s="169"/>
      <c r="B56" s="169"/>
      <c r="C56" s="169"/>
      <c r="D56" s="169"/>
      <c r="E56" s="169" t="s">
        <v>20</v>
      </c>
      <c r="F56" s="164" t="s">
        <v>63</v>
      </c>
      <c r="G56" s="169">
        <v>269</v>
      </c>
      <c r="H56" s="169" t="s">
        <v>560</v>
      </c>
      <c r="I56" s="150">
        <f t="shared" si="17"/>
        <v>0</v>
      </c>
      <c r="J56" s="150">
        <f t="shared" si="18"/>
        <v>0</v>
      </c>
      <c r="K56" s="150">
        <f t="shared" si="16"/>
        <v>0</v>
      </c>
      <c r="L56" s="150">
        <f t="shared" si="19"/>
        <v>0</v>
      </c>
      <c r="M56" s="166"/>
      <c r="N56" s="150"/>
      <c r="O56" s="150"/>
      <c r="P56" s="150"/>
      <c r="Q56" s="150"/>
      <c r="R56" s="150"/>
      <c r="S56" s="150"/>
      <c r="T56" s="150"/>
      <c r="U56" s="150"/>
      <c r="V56" s="150"/>
      <c r="W56" s="150"/>
      <c r="X56" s="150"/>
      <c r="Y56" s="150"/>
      <c r="Z56" s="150"/>
      <c r="AA56" s="150"/>
      <c r="AB56" s="150"/>
      <c r="AC56" s="150"/>
      <c r="AD56" s="150"/>
      <c r="AE56" s="150"/>
      <c r="AF56" s="150"/>
      <c r="AG56" s="150"/>
      <c r="AH56" s="150"/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70"/>
      <c r="BD56" s="170"/>
      <c r="BE56" s="170"/>
      <c r="BF56" s="170"/>
      <c r="BG56" s="170"/>
      <c r="BH56" s="170"/>
      <c r="BI56" s="170"/>
      <c r="BJ56" s="170"/>
      <c r="BK56" s="167">
        <f t="shared" si="20"/>
        <v>0</v>
      </c>
      <c r="BL56" s="167">
        <f t="shared" si="21"/>
        <v>0</v>
      </c>
      <c r="BM56" s="167">
        <f t="shared" si="22"/>
        <v>0</v>
      </c>
      <c r="BN56" s="167">
        <f t="shared" si="23"/>
        <v>0</v>
      </c>
    </row>
    <row r="57" spans="1:66" s="171" customFormat="1" hidden="1" outlineLevel="2" x14ac:dyDescent="0.3">
      <c r="A57" s="169"/>
      <c r="B57" s="169"/>
      <c r="C57" s="169"/>
      <c r="D57" s="169"/>
      <c r="E57" s="169" t="s">
        <v>20</v>
      </c>
      <c r="F57" s="164" t="s">
        <v>63</v>
      </c>
      <c r="G57" s="169">
        <v>270</v>
      </c>
      <c r="H57" s="169" t="s">
        <v>562</v>
      </c>
      <c r="I57" s="150">
        <f t="shared" si="17"/>
        <v>0</v>
      </c>
      <c r="J57" s="150">
        <f t="shared" si="18"/>
        <v>0</v>
      </c>
      <c r="K57" s="150">
        <f t="shared" si="16"/>
        <v>0</v>
      </c>
      <c r="L57" s="150">
        <f t="shared" si="19"/>
        <v>0</v>
      </c>
      <c r="M57" s="166"/>
      <c r="N57" s="150"/>
      <c r="O57" s="150"/>
      <c r="P57" s="150"/>
      <c r="Q57" s="150"/>
      <c r="R57" s="150"/>
      <c r="S57" s="150"/>
      <c r="T57" s="150"/>
      <c r="U57" s="150"/>
      <c r="V57" s="150"/>
      <c r="W57" s="150"/>
      <c r="X57" s="150"/>
      <c r="Y57" s="150"/>
      <c r="Z57" s="150"/>
      <c r="AA57" s="150"/>
      <c r="AB57" s="150"/>
      <c r="AC57" s="150"/>
      <c r="AD57" s="150"/>
      <c r="AE57" s="150"/>
      <c r="AF57" s="150"/>
      <c r="AG57" s="150"/>
      <c r="AH57" s="150"/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70"/>
      <c r="BD57" s="170"/>
      <c r="BE57" s="170"/>
      <c r="BF57" s="170"/>
      <c r="BG57" s="170"/>
      <c r="BH57" s="170"/>
      <c r="BI57" s="170"/>
      <c r="BJ57" s="170"/>
      <c r="BK57" s="167">
        <f t="shared" si="20"/>
        <v>0</v>
      </c>
      <c r="BL57" s="167">
        <f t="shared" si="21"/>
        <v>0</v>
      </c>
      <c r="BM57" s="167">
        <f t="shared" si="22"/>
        <v>0</v>
      </c>
      <c r="BN57" s="167">
        <f t="shared" si="23"/>
        <v>0</v>
      </c>
    </row>
    <row r="58" spans="1:66" s="171" customFormat="1" hidden="1" outlineLevel="2" x14ac:dyDescent="0.3">
      <c r="A58" s="169"/>
      <c r="B58" s="169"/>
      <c r="C58" s="169"/>
      <c r="D58" s="169"/>
      <c r="E58" s="169" t="s">
        <v>20</v>
      </c>
      <c r="F58" s="164" t="s">
        <v>63</v>
      </c>
      <c r="G58" s="169">
        <v>271</v>
      </c>
      <c r="H58" s="169" t="s">
        <v>563</v>
      </c>
      <c r="I58" s="150">
        <f t="shared" si="17"/>
        <v>0</v>
      </c>
      <c r="J58" s="150">
        <f t="shared" si="18"/>
        <v>0</v>
      </c>
      <c r="K58" s="150">
        <f t="shared" si="16"/>
        <v>0</v>
      </c>
      <c r="L58" s="150">
        <f t="shared" si="19"/>
        <v>0</v>
      </c>
      <c r="M58" s="166"/>
      <c r="N58" s="150"/>
      <c r="O58" s="150"/>
      <c r="P58" s="150"/>
      <c r="Q58" s="150"/>
      <c r="R58" s="150"/>
      <c r="S58" s="150"/>
      <c r="T58" s="150"/>
      <c r="U58" s="150"/>
      <c r="V58" s="150"/>
      <c r="W58" s="150"/>
      <c r="X58" s="150"/>
      <c r="Y58" s="150"/>
      <c r="Z58" s="150"/>
      <c r="AA58" s="150"/>
      <c r="AB58" s="150"/>
      <c r="AC58" s="150"/>
      <c r="AD58" s="150"/>
      <c r="AE58" s="150"/>
      <c r="AF58" s="150"/>
      <c r="AG58" s="150"/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70"/>
      <c r="BD58" s="170"/>
      <c r="BE58" s="170"/>
      <c r="BF58" s="170"/>
      <c r="BG58" s="170"/>
      <c r="BH58" s="170"/>
      <c r="BI58" s="170"/>
      <c r="BJ58" s="170"/>
      <c r="BK58" s="167">
        <f t="shared" si="20"/>
        <v>0</v>
      </c>
      <c r="BL58" s="167">
        <f t="shared" si="21"/>
        <v>0</v>
      </c>
      <c r="BM58" s="167">
        <f t="shared" si="22"/>
        <v>0</v>
      </c>
      <c r="BN58" s="167">
        <f t="shared" si="23"/>
        <v>0</v>
      </c>
    </row>
    <row r="59" spans="1:66" s="171" customFormat="1" hidden="1" outlineLevel="2" x14ac:dyDescent="0.3">
      <c r="A59" s="169"/>
      <c r="B59" s="169"/>
      <c r="C59" s="169"/>
      <c r="D59" s="169"/>
      <c r="E59" s="169" t="s">
        <v>20</v>
      </c>
      <c r="F59" s="164" t="s">
        <v>63</v>
      </c>
      <c r="G59" s="169">
        <v>272</v>
      </c>
      <c r="H59" s="169" t="s">
        <v>565</v>
      </c>
      <c r="I59" s="150">
        <f t="shared" si="17"/>
        <v>0</v>
      </c>
      <c r="J59" s="150">
        <f t="shared" si="18"/>
        <v>0</v>
      </c>
      <c r="K59" s="150">
        <f t="shared" si="16"/>
        <v>0</v>
      </c>
      <c r="L59" s="150">
        <f t="shared" si="19"/>
        <v>0</v>
      </c>
      <c r="M59" s="166"/>
      <c r="N59" s="150"/>
      <c r="O59" s="150"/>
      <c r="P59" s="150"/>
      <c r="Q59" s="150"/>
      <c r="R59" s="150"/>
      <c r="S59" s="150"/>
      <c r="T59" s="150"/>
      <c r="U59" s="150"/>
      <c r="V59" s="150"/>
      <c r="W59" s="150"/>
      <c r="X59" s="150"/>
      <c r="Y59" s="150"/>
      <c r="Z59" s="150"/>
      <c r="AA59" s="150"/>
      <c r="AB59" s="150"/>
      <c r="AC59" s="150"/>
      <c r="AD59" s="150"/>
      <c r="AE59" s="150"/>
      <c r="AF59" s="150"/>
      <c r="AG59" s="150"/>
      <c r="AH59" s="150"/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70"/>
      <c r="BD59" s="170"/>
      <c r="BE59" s="170"/>
      <c r="BF59" s="170"/>
      <c r="BG59" s="170"/>
      <c r="BH59" s="170"/>
      <c r="BI59" s="170"/>
      <c r="BJ59" s="170"/>
      <c r="BK59" s="167">
        <f t="shared" si="20"/>
        <v>0</v>
      </c>
      <c r="BL59" s="167">
        <f t="shared" si="21"/>
        <v>0</v>
      </c>
      <c r="BM59" s="167">
        <f t="shared" si="22"/>
        <v>0</v>
      </c>
      <c r="BN59" s="167">
        <f t="shared" si="23"/>
        <v>0</v>
      </c>
    </row>
    <row r="60" spans="1:66" s="171" customFormat="1" hidden="1" outlineLevel="2" x14ac:dyDescent="0.3">
      <c r="A60" s="169"/>
      <c r="B60" s="169"/>
      <c r="C60" s="169"/>
      <c r="D60" s="169"/>
      <c r="E60" s="169" t="s">
        <v>20</v>
      </c>
      <c r="F60" s="164" t="s">
        <v>63</v>
      </c>
      <c r="G60" s="169">
        <v>273</v>
      </c>
      <c r="H60" s="169" t="s">
        <v>567</v>
      </c>
      <c r="I60" s="150">
        <f t="shared" si="17"/>
        <v>0</v>
      </c>
      <c r="J60" s="150">
        <f t="shared" si="18"/>
        <v>0</v>
      </c>
      <c r="K60" s="150">
        <f t="shared" si="16"/>
        <v>0</v>
      </c>
      <c r="L60" s="150">
        <f t="shared" si="19"/>
        <v>0</v>
      </c>
      <c r="M60" s="166"/>
      <c r="N60" s="150"/>
      <c r="O60" s="150"/>
      <c r="P60" s="150"/>
      <c r="Q60" s="150"/>
      <c r="R60" s="150"/>
      <c r="S60" s="150"/>
      <c r="T60" s="150"/>
      <c r="U60" s="150"/>
      <c r="V60" s="150"/>
      <c r="W60" s="150"/>
      <c r="X60" s="150"/>
      <c r="Y60" s="150"/>
      <c r="Z60" s="150"/>
      <c r="AA60" s="150"/>
      <c r="AB60" s="150"/>
      <c r="AC60" s="150"/>
      <c r="AD60" s="150"/>
      <c r="AE60" s="150"/>
      <c r="AF60" s="150"/>
      <c r="AG60" s="150"/>
      <c r="AH60" s="150"/>
      <c r="AI60" s="150"/>
      <c r="AJ60" s="150"/>
      <c r="AK60" s="150"/>
      <c r="AL60" s="150"/>
      <c r="AM60" s="150">
        <f t="shared" ref="AM60:AN60" si="24">AM27*0.27</f>
        <v>0</v>
      </c>
      <c r="AN60" s="150">
        <f t="shared" si="24"/>
        <v>0</v>
      </c>
      <c r="AO60" s="150">
        <f>AO27*0.27</f>
        <v>0</v>
      </c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70"/>
      <c r="BD60" s="170"/>
      <c r="BE60" s="170"/>
      <c r="BF60" s="170"/>
      <c r="BG60" s="170"/>
      <c r="BH60" s="170"/>
      <c r="BI60" s="170"/>
      <c r="BJ60" s="170"/>
      <c r="BK60" s="167">
        <f t="shared" si="20"/>
        <v>0</v>
      </c>
      <c r="BL60" s="167">
        <f t="shared" si="21"/>
        <v>0</v>
      </c>
      <c r="BM60" s="167">
        <f t="shared" si="22"/>
        <v>0</v>
      </c>
      <c r="BN60" s="167">
        <f t="shared" si="23"/>
        <v>0</v>
      </c>
    </row>
    <row r="61" spans="1:66" s="171" customFormat="1" hidden="1" outlineLevel="2" x14ac:dyDescent="0.3">
      <c r="A61" s="169"/>
      <c r="B61" s="169"/>
      <c r="C61" s="169"/>
      <c r="D61" s="169"/>
      <c r="E61" s="169" t="s">
        <v>20</v>
      </c>
      <c r="F61" s="164" t="s">
        <v>63</v>
      </c>
      <c r="G61" s="169">
        <v>274</v>
      </c>
      <c r="H61" s="169" t="s">
        <v>569</v>
      </c>
      <c r="I61" s="150">
        <f t="shared" si="17"/>
        <v>0</v>
      </c>
      <c r="J61" s="150">
        <f t="shared" si="18"/>
        <v>0</v>
      </c>
      <c r="K61" s="150">
        <f t="shared" si="16"/>
        <v>0</v>
      </c>
      <c r="L61" s="150">
        <f t="shared" si="19"/>
        <v>0</v>
      </c>
      <c r="M61" s="166"/>
      <c r="N61" s="150"/>
      <c r="O61" s="150"/>
      <c r="P61" s="150"/>
      <c r="Q61" s="150"/>
      <c r="R61" s="150"/>
      <c r="S61" s="150"/>
      <c r="T61" s="150"/>
      <c r="U61" s="150"/>
      <c r="V61" s="150"/>
      <c r="W61" s="150"/>
      <c r="X61" s="150"/>
      <c r="Y61" s="150"/>
      <c r="Z61" s="150"/>
      <c r="AA61" s="150"/>
      <c r="AB61" s="150"/>
      <c r="AC61" s="150"/>
      <c r="AD61" s="150"/>
      <c r="AE61" s="150"/>
      <c r="AF61" s="150"/>
      <c r="AG61" s="150"/>
      <c r="AH61" s="150"/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70"/>
      <c r="BD61" s="170"/>
      <c r="BE61" s="170"/>
      <c r="BF61" s="170"/>
      <c r="BG61" s="170"/>
      <c r="BH61" s="170"/>
      <c r="BI61" s="170"/>
      <c r="BJ61" s="170"/>
      <c r="BK61" s="167">
        <f t="shared" si="20"/>
        <v>0</v>
      </c>
      <c r="BL61" s="167">
        <f t="shared" si="21"/>
        <v>0</v>
      </c>
      <c r="BM61" s="167">
        <f t="shared" si="22"/>
        <v>0</v>
      </c>
      <c r="BN61" s="167">
        <f t="shared" si="23"/>
        <v>0</v>
      </c>
    </row>
    <row r="62" spans="1:66" s="171" customFormat="1" hidden="1" outlineLevel="2" x14ac:dyDescent="0.3">
      <c r="A62" s="169"/>
      <c r="B62" s="169"/>
      <c r="C62" s="169"/>
      <c r="D62" s="169"/>
      <c r="E62" s="169" t="s">
        <v>20</v>
      </c>
      <c r="F62" s="164" t="s">
        <v>63</v>
      </c>
      <c r="G62" s="169">
        <v>275</v>
      </c>
      <c r="H62" s="169" t="s">
        <v>571</v>
      </c>
      <c r="I62" s="150">
        <f t="shared" si="17"/>
        <v>0</v>
      </c>
      <c r="J62" s="150">
        <f t="shared" si="18"/>
        <v>0</v>
      </c>
      <c r="K62" s="150">
        <f t="shared" si="16"/>
        <v>0</v>
      </c>
      <c r="L62" s="150">
        <f t="shared" si="19"/>
        <v>0</v>
      </c>
      <c r="M62" s="166"/>
      <c r="N62" s="150"/>
      <c r="O62" s="150"/>
      <c r="P62" s="150"/>
      <c r="Q62" s="150"/>
      <c r="R62" s="150"/>
      <c r="S62" s="150"/>
      <c r="T62" s="150"/>
      <c r="U62" s="150"/>
      <c r="V62" s="150"/>
      <c r="W62" s="150"/>
      <c r="X62" s="150"/>
      <c r="Y62" s="150"/>
      <c r="Z62" s="150"/>
      <c r="AA62" s="150"/>
      <c r="AB62" s="150"/>
      <c r="AC62" s="150"/>
      <c r="AD62" s="150"/>
      <c r="AE62" s="150"/>
      <c r="AF62" s="150"/>
      <c r="AG62" s="150"/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70"/>
      <c r="BD62" s="170"/>
      <c r="BE62" s="170"/>
      <c r="BF62" s="170"/>
      <c r="BG62" s="170"/>
      <c r="BH62" s="170"/>
      <c r="BI62" s="170"/>
      <c r="BJ62" s="170"/>
      <c r="BK62" s="167">
        <f t="shared" si="20"/>
        <v>0</v>
      </c>
      <c r="BL62" s="167">
        <f t="shared" si="21"/>
        <v>0</v>
      </c>
      <c r="BM62" s="167">
        <f t="shared" si="22"/>
        <v>0</v>
      </c>
      <c r="BN62" s="167">
        <f t="shared" si="23"/>
        <v>0</v>
      </c>
    </row>
    <row r="63" spans="1:66" s="171" customFormat="1" hidden="1" outlineLevel="2" x14ac:dyDescent="0.3">
      <c r="A63" s="169"/>
      <c r="B63" s="169"/>
      <c r="C63" s="169"/>
      <c r="D63" s="169"/>
      <c r="E63" s="169" t="s">
        <v>20</v>
      </c>
      <c r="F63" s="164" t="s">
        <v>63</v>
      </c>
      <c r="G63" s="169">
        <v>276</v>
      </c>
      <c r="H63" s="169" t="s">
        <v>573</v>
      </c>
      <c r="I63" s="150">
        <f t="shared" si="17"/>
        <v>0</v>
      </c>
      <c r="J63" s="150">
        <f t="shared" si="18"/>
        <v>0</v>
      </c>
      <c r="K63" s="150">
        <f t="shared" si="16"/>
        <v>0</v>
      </c>
      <c r="L63" s="150">
        <f t="shared" si="19"/>
        <v>0</v>
      </c>
      <c r="M63" s="166"/>
      <c r="N63" s="150"/>
      <c r="O63" s="150"/>
      <c r="P63" s="150"/>
      <c r="Q63" s="150"/>
      <c r="R63" s="150"/>
      <c r="S63" s="150"/>
      <c r="T63" s="150"/>
      <c r="U63" s="150"/>
      <c r="V63" s="150"/>
      <c r="W63" s="150"/>
      <c r="X63" s="150"/>
      <c r="Y63" s="150"/>
      <c r="Z63" s="150"/>
      <c r="AA63" s="150"/>
      <c r="AB63" s="150"/>
      <c r="AC63" s="150"/>
      <c r="AD63" s="150"/>
      <c r="AE63" s="150"/>
      <c r="AF63" s="150"/>
      <c r="AG63" s="150"/>
      <c r="AH63" s="150"/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70"/>
      <c r="BD63" s="170"/>
      <c r="BE63" s="170"/>
      <c r="BF63" s="170"/>
      <c r="BG63" s="170"/>
      <c r="BH63" s="170"/>
      <c r="BI63" s="170"/>
      <c r="BJ63" s="170"/>
      <c r="BK63" s="167">
        <f t="shared" si="20"/>
        <v>0</v>
      </c>
      <c r="BL63" s="167">
        <f t="shared" si="21"/>
        <v>0</v>
      </c>
      <c r="BM63" s="167">
        <f t="shared" si="22"/>
        <v>0</v>
      </c>
      <c r="BN63" s="167">
        <f t="shared" si="23"/>
        <v>0</v>
      </c>
    </row>
    <row r="64" spans="1:66" s="171" customFormat="1" hidden="1" outlineLevel="2" x14ac:dyDescent="0.3">
      <c r="A64" s="169"/>
      <c r="B64" s="169"/>
      <c r="C64" s="169"/>
      <c r="D64" s="169"/>
      <c r="E64" s="169" t="s">
        <v>20</v>
      </c>
      <c r="F64" s="164" t="s">
        <v>63</v>
      </c>
      <c r="G64" s="169">
        <v>277</v>
      </c>
      <c r="H64" s="169" t="s">
        <v>575</v>
      </c>
      <c r="I64" s="150">
        <f t="shared" si="17"/>
        <v>0</v>
      </c>
      <c r="J64" s="150">
        <f t="shared" si="18"/>
        <v>0</v>
      </c>
      <c r="K64" s="150">
        <f t="shared" si="16"/>
        <v>0</v>
      </c>
      <c r="L64" s="150">
        <f t="shared" si="19"/>
        <v>0</v>
      </c>
      <c r="M64" s="166"/>
      <c r="N64" s="150"/>
      <c r="O64" s="150"/>
      <c r="P64" s="150"/>
      <c r="Q64" s="150"/>
      <c r="R64" s="150"/>
      <c r="S64" s="150"/>
      <c r="T64" s="150"/>
      <c r="U64" s="150"/>
      <c r="V64" s="150"/>
      <c r="W64" s="150"/>
      <c r="X64" s="150"/>
      <c r="Y64" s="150"/>
      <c r="Z64" s="150"/>
      <c r="AA64" s="150"/>
      <c r="AB64" s="150"/>
      <c r="AC64" s="150"/>
      <c r="AD64" s="150"/>
      <c r="AE64" s="150"/>
      <c r="AF64" s="150"/>
      <c r="AG64" s="150"/>
      <c r="AH64" s="150"/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70"/>
      <c r="BD64" s="170"/>
      <c r="BE64" s="170"/>
      <c r="BF64" s="170"/>
      <c r="BG64" s="170"/>
      <c r="BH64" s="170"/>
      <c r="BI64" s="170"/>
      <c r="BJ64" s="170"/>
      <c r="BK64" s="167">
        <f t="shared" si="20"/>
        <v>0</v>
      </c>
      <c r="BL64" s="167">
        <f t="shared" si="21"/>
        <v>0</v>
      </c>
      <c r="BM64" s="167">
        <f t="shared" si="22"/>
        <v>0</v>
      </c>
      <c r="BN64" s="167">
        <f t="shared" si="23"/>
        <v>0</v>
      </c>
    </row>
    <row r="65" spans="1:66" s="171" customFormat="1" hidden="1" outlineLevel="2" x14ac:dyDescent="0.3">
      <c r="A65" s="169"/>
      <c r="B65" s="169"/>
      <c r="C65" s="169"/>
      <c r="D65" s="169"/>
      <c r="E65" s="169" t="s">
        <v>20</v>
      </c>
      <c r="F65" s="164" t="s">
        <v>63</v>
      </c>
      <c r="G65" s="169">
        <v>278</v>
      </c>
      <c r="H65" s="169" t="s">
        <v>576</v>
      </c>
      <c r="I65" s="150">
        <f t="shared" si="17"/>
        <v>0</v>
      </c>
      <c r="J65" s="150">
        <f t="shared" si="18"/>
        <v>0</v>
      </c>
      <c r="K65" s="150">
        <f t="shared" si="16"/>
        <v>0</v>
      </c>
      <c r="L65" s="150">
        <f t="shared" si="19"/>
        <v>0</v>
      </c>
      <c r="M65" s="166"/>
      <c r="N65" s="150"/>
      <c r="O65" s="150"/>
      <c r="P65" s="150"/>
      <c r="Q65" s="150"/>
      <c r="R65" s="150"/>
      <c r="S65" s="150"/>
      <c r="T65" s="150"/>
      <c r="U65" s="150"/>
      <c r="V65" s="150"/>
      <c r="W65" s="150"/>
      <c r="X65" s="150"/>
      <c r="Y65" s="150"/>
      <c r="Z65" s="150"/>
      <c r="AA65" s="150"/>
      <c r="AB65" s="150"/>
      <c r="AC65" s="150"/>
      <c r="AD65" s="150"/>
      <c r="AE65" s="150"/>
      <c r="AF65" s="150"/>
      <c r="AG65" s="150"/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70"/>
      <c r="BD65" s="170"/>
      <c r="BE65" s="170"/>
      <c r="BF65" s="170"/>
      <c r="BG65" s="170"/>
      <c r="BH65" s="170"/>
      <c r="BI65" s="170"/>
      <c r="BJ65" s="170"/>
      <c r="BK65" s="167">
        <f t="shared" si="20"/>
        <v>0</v>
      </c>
      <c r="BL65" s="167">
        <f t="shared" si="21"/>
        <v>0</v>
      </c>
      <c r="BM65" s="167">
        <f t="shared" si="22"/>
        <v>0</v>
      </c>
      <c r="BN65" s="167">
        <f t="shared" si="23"/>
        <v>0</v>
      </c>
    </row>
    <row r="66" spans="1:66" s="171" customFormat="1" hidden="1" outlineLevel="2" x14ac:dyDescent="0.3">
      <c r="A66" s="169"/>
      <c r="B66" s="169"/>
      <c r="C66" s="169"/>
      <c r="D66" s="169"/>
      <c r="E66" s="169" t="s">
        <v>20</v>
      </c>
      <c r="F66" s="164" t="s">
        <v>63</v>
      </c>
      <c r="G66" s="169">
        <v>279</v>
      </c>
      <c r="H66" s="169" t="s">
        <v>578</v>
      </c>
      <c r="I66" s="150">
        <f t="shared" si="17"/>
        <v>0</v>
      </c>
      <c r="J66" s="150">
        <f t="shared" si="18"/>
        <v>0</v>
      </c>
      <c r="K66" s="150">
        <f t="shared" si="16"/>
        <v>0</v>
      </c>
      <c r="L66" s="150">
        <f t="shared" si="19"/>
        <v>0</v>
      </c>
      <c r="M66" s="166"/>
      <c r="N66" s="150"/>
      <c r="O66" s="150"/>
      <c r="P66" s="150"/>
      <c r="Q66" s="150"/>
      <c r="R66" s="150"/>
      <c r="S66" s="150"/>
      <c r="T66" s="150"/>
      <c r="U66" s="150"/>
      <c r="V66" s="150"/>
      <c r="W66" s="150"/>
      <c r="X66" s="150"/>
      <c r="Y66" s="150"/>
      <c r="Z66" s="150"/>
      <c r="AA66" s="150"/>
      <c r="AB66" s="150"/>
      <c r="AC66" s="150"/>
      <c r="AD66" s="150"/>
      <c r="AE66" s="150"/>
      <c r="AF66" s="150"/>
      <c r="AG66" s="150"/>
      <c r="AH66" s="150"/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70"/>
      <c r="BD66" s="170"/>
      <c r="BE66" s="170"/>
      <c r="BF66" s="170"/>
      <c r="BG66" s="170"/>
      <c r="BH66" s="170"/>
      <c r="BI66" s="170"/>
      <c r="BJ66" s="170"/>
      <c r="BK66" s="167">
        <f t="shared" si="20"/>
        <v>0</v>
      </c>
      <c r="BL66" s="167">
        <f t="shared" si="21"/>
        <v>0</v>
      </c>
      <c r="BM66" s="167">
        <f t="shared" si="22"/>
        <v>0</v>
      </c>
      <c r="BN66" s="167">
        <f t="shared" si="23"/>
        <v>0</v>
      </c>
    </row>
    <row r="67" spans="1:66" s="171" customFormat="1" hidden="1" outlineLevel="2" x14ac:dyDescent="0.3">
      <c r="A67" s="169"/>
      <c r="B67" s="169"/>
      <c r="C67" s="169"/>
      <c r="D67" s="169"/>
      <c r="E67" s="169" t="s">
        <v>20</v>
      </c>
      <c r="F67" s="164" t="s">
        <v>63</v>
      </c>
      <c r="G67" s="169">
        <v>280</v>
      </c>
      <c r="H67" s="169" t="s">
        <v>579</v>
      </c>
      <c r="I67" s="150">
        <f t="shared" si="17"/>
        <v>0</v>
      </c>
      <c r="J67" s="150">
        <f t="shared" si="18"/>
        <v>0</v>
      </c>
      <c r="K67" s="150">
        <f t="shared" si="16"/>
        <v>0</v>
      </c>
      <c r="L67" s="150">
        <f t="shared" si="19"/>
        <v>0</v>
      </c>
      <c r="M67" s="166"/>
      <c r="N67" s="150"/>
      <c r="O67" s="150"/>
      <c r="P67" s="150"/>
      <c r="Q67" s="150"/>
      <c r="R67" s="150"/>
      <c r="S67" s="150"/>
      <c r="T67" s="150"/>
      <c r="U67" s="150"/>
      <c r="V67" s="150"/>
      <c r="W67" s="150"/>
      <c r="X67" s="150"/>
      <c r="Y67" s="150"/>
      <c r="Z67" s="150"/>
      <c r="AA67" s="150"/>
      <c r="AB67" s="150"/>
      <c r="AC67" s="150"/>
      <c r="AD67" s="150"/>
      <c r="AE67" s="150"/>
      <c r="AF67" s="150"/>
      <c r="AG67" s="150"/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70"/>
      <c r="BD67" s="170"/>
      <c r="BE67" s="170"/>
      <c r="BF67" s="170"/>
      <c r="BG67" s="170"/>
      <c r="BH67" s="170"/>
      <c r="BI67" s="170"/>
      <c r="BJ67" s="170"/>
      <c r="BK67" s="167">
        <f t="shared" si="20"/>
        <v>0</v>
      </c>
      <c r="BL67" s="167">
        <f t="shared" si="21"/>
        <v>0</v>
      </c>
      <c r="BM67" s="167">
        <f t="shared" si="22"/>
        <v>0</v>
      </c>
      <c r="BN67" s="167">
        <f t="shared" si="23"/>
        <v>0</v>
      </c>
    </row>
    <row r="68" spans="1:66" s="171" customFormat="1" hidden="1" outlineLevel="2" x14ac:dyDescent="0.3">
      <c r="A68" s="169"/>
      <c r="B68" s="186"/>
      <c r="C68" s="186"/>
      <c r="D68" s="186"/>
      <c r="E68" s="186" t="s">
        <v>20</v>
      </c>
      <c r="F68" s="183" t="s">
        <v>63</v>
      </c>
      <c r="G68" s="186">
        <v>281</v>
      </c>
      <c r="H68" s="169" t="s">
        <v>581</v>
      </c>
      <c r="I68" s="150">
        <f t="shared" si="17"/>
        <v>0</v>
      </c>
      <c r="J68" s="150">
        <f t="shared" ref="J68:J85" si="25">SUM(N68:AO68)</f>
        <v>0</v>
      </c>
      <c r="K68" s="150">
        <f t="shared" si="16"/>
        <v>0</v>
      </c>
      <c r="L68" s="150">
        <f t="shared" ref="L68:L90" si="26">SUM(N68:BJ68)</f>
        <v>0</v>
      </c>
      <c r="M68" s="166"/>
      <c r="N68" s="150"/>
      <c r="O68" s="150"/>
      <c r="P68" s="150"/>
      <c r="Q68" s="150"/>
      <c r="R68" s="150"/>
      <c r="S68" s="150"/>
      <c r="T68" s="150"/>
      <c r="U68" s="150"/>
      <c r="V68" s="150"/>
      <c r="W68" s="150"/>
      <c r="X68" s="150"/>
      <c r="Y68" s="150"/>
      <c r="Z68" s="150"/>
      <c r="AA68" s="150"/>
      <c r="AB68" s="150"/>
      <c r="AC68" s="150"/>
      <c r="AD68" s="150"/>
      <c r="AE68" s="150"/>
      <c r="AF68" s="150"/>
      <c r="AG68" s="150"/>
      <c r="AH68" s="150"/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70"/>
      <c r="BD68" s="170"/>
      <c r="BE68" s="170"/>
      <c r="BF68" s="170"/>
      <c r="BG68" s="170"/>
      <c r="BH68" s="170"/>
      <c r="BI68" s="170"/>
      <c r="BJ68" s="170"/>
      <c r="BK68" s="167">
        <f t="shared" ref="BK68:BK90" si="27">+SUM(N68:AA68)</f>
        <v>0</v>
      </c>
      <c r="BL68" s="167">
        <f t="shared" ref="BL68:BL90" si="28">+AB68</f>
        <v>0</v>
      </c>
      <c r="BM68" s="167">
        <f t="shared" ref="BM68:BM90" si="29">+SUM(AC68:AO68)</f>
        <v>0</v>
      </c>
      <c r="BN68" s="167">
        <f t="shared" ref="BN68:BN90" si="30">+SUM(AP68:BJ68)</f>
        <v>0</v>
      </c>
    </row>
    <row r="69" spans="1:66" s="171" customFormat="1" hidden="1" outlineLevel="2" x14ac:dyDescent="0.3">
      <c r="A69" s="169"/>
      <c r="B69" s="186"/>
      <c r="C69" s="186"/>
      <c r="D69" s="186"/>
      <c r="E69" s="186" t="s">
        <v>20</v>
      </c>
      <c r="F69" s="183" t="s">
        <v>63</v>
      </c>
      <c r="G69" s="186">
        <v>282</v>
      </c>
      <c r="H69" s="169" t="s">
        <v>583</v>
      </c>
      <c r="I69" s="150">
        <f t="shared" si="17"/>
        <v>0</v>
      </c>
      <c r="J69" s="150">
        <f t="shared" si="25"/>
        <v>0</v>
      </c>
      <c r="K69" s="150">
        <f t="shared" si="16"/>
        <v>0</v>
      </c>
      <c r="L69" s="150">
        <f t="shared" si="26"/>
        <v>0</v>
      </c>
      <c r="M69" s="166"/>
      <c r="N69" s="150"/>
      <c r="O69" s="150"/>
      <c r="P69" s="150"/>
      <c r="Q69" s="150"/>
      <c r="R69" s="150"/>
      <c r="S69" s="150"/>
      <c r="T69" s="150"/>
      <c r="U69" s="150"/>
      <c r="V69" s="150"/>
      <c r="W69" s="150"/>
      <c r="X69" s="150"/>
      <c r="Y69" s="150"/>
      <c r="Z69" s="150"/>
      <c r="AA69" s="150"/>
      <c r="AB69" s="150"/>
      <c r="AC69" s="150"/>
      <c r="AD69" s="150"/>
      <c r="AE69" s="150"/>
      <c r="AF69" s="150"/>
      <c r="AG69" s="150"/>
      <c r="AH69" s="150"/>
      <c r="AI69" s="150"/>
      <c r="AJ69" s="150"/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70"/>
      <c r="BD69" s="170"/>
      <c r="BE69" s="170"/>
      <c r="BF69" s="170"/>
      <c r="BG69" s="170"/>
      <c r="BH69" s="170"/>
      <c r="BI69" s="170"/>
      <c r="BJ69" s="170"/>
      <c r="BK69" s="167">
        <f t="shared" si="27"/>
        <v>0</v>
      </c>
      <c r="BL69" s="167">
        <f t="shared" si="28"/>
        <v>0</v>
      </c>
      <c r="BM69" s="167">
        <f t="shared" si="29"/>
        <v>0</v>
      </c>
      <c r="BN69" s="167">
        <f t="shared" si="30"/>
        <v>0</v>
      </c>
    </row>
    <row r="70" spans="1:66" s="171" customFormat="1" hidden="1" outlineLevel="2" x14ac:dyDescent="0.3">
      <c r="A70" s="169"/>
      <c r="B70" s="186"/>
      <c r="C70" s="186"/>
      <c r="D70" s="186"/>
      <c r="E70" s="186" t="s">
        <v>20</v>
      </c>
      <c r="F70" s="183" t="s">
        <v>63</v>
      </c>
      <c r="G70" s="186">
        <v>283</v>
      </c>
      <c r="H70" s="169" t="s">
        <v>585</v>
      </c>
      <c r="I70" s="150">
        <f t="shared" si="17"/>
        <v>0</v>
      </c>
      <c r="J70" s="150">
        <f t="shared" si="25"/>
        <v>0</v>
      </c>
      <c r="K70" s="150">
        <f t="shared" si="16"/>
        <v>0</v>
      </c>
      <c r="L70" s="150">
        <f t="shared" si="26"/>
        <v>0</v>
      </c>
      <c r="M70" s="166"/>
      <c r="N70" s="150"/>
      <c r="O70" s="150"/>
      <c r="P70" s="150"/>
      <c r="Q70" s="150"/>
      <c r="R70" s="150"/>
      <c r="S70" s="150"/>
      <c r="T70" s="150"/>
      <c r="U70" s="150"/>
      <c r="V70" s="150"/>
      <c r="W70" s="150"/>
      <c r="X70" s="150"/>
      <c r="Y70" s="150"/>
      <c r="Z70" s="150"/>
      <c r="AA70" s="150"/>
      <c r="AB70" s="150"/>
      <c r="AC70" s="150"/>
      <c r="AD70" s="150"/>
      <c r="AE70" s="150"/>
      <c r="AF70" s="150"/>
      <c r="AG70" s="150"/>
      <c r="AH70" s="150"/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70"/>
      <c r="BD70" s="170"/>
      <c r="BE70" s="170"/>
      <c r="BF70" s="170"/>
      <c r="BG70" s="170"/>
      <c r="BH70" s="170"/>
      <c r="BI70" s="170"/>
      <c r="BJ70" s="170"/>
      <c r="BK70" s="167">
        <f t="shared" si="27"/>
        <v>0</v>
      </c>
      <c r="BL70" s="167">
        <f t="shared" si="28"/>
        <v>0</v>
      </c>
      <c r="BM70" s="167">
        <f t="shared" si="29"/>
        <v>0</v>
      </c>
      <c r="BN70" s="167">
        <f t="shared" si="30"/>
        <v>0</v>
      </c>
    </row>
    <row r="71" spans="1:66" s="171" customFormat="1" hidden="1" outlineLevel="2" x14ac:dyDescent="0.3">
      <c r="A71" s="169"/>
      <c r="B71" s="186"/>
      <c r="C71" s="186"/>
      <c r="D71" s="186"/>
      <c r="E71" s="186" t="s">
        <v>20</v>
      </c>
      <c r="F71" s="183" t="s">
        <v>63</v>
      </c>
      <c r="G71" s="186">
        <v>284</v>
      </c>
      <c r="H71" s="169" t="s">
        <v>587</v>
      </c>
      <c r="I71" s="150">
        <f t="shared" si="17"/>
        <v>0</v>
      </c>
      <c r="J71" s="150">
        <f t="shared" si="25"/>
        <v>0</v>
      </c>
      <c r="K71" s="150">
        <f t="shared" si="16"/>
        <v>0</v>
      </c>
      <c r="L71" s="150">
        <f t="shared" si="26"/>
        <v>0</v>
      </c>
      <c r="M71" s="166"/>
      <c r="N71" s="150"/>
      <c r="O71" s="150"/>
      <c r="P71" s="150"/>
      <c r="Q71" s="150"/>
      <c r="R71" s="150"/>
      <c r="S71" s="150"/>
      <c r="T71" s="150"/>
      <c r="U71" s="150"/>
      <c r="V71" s="150"/>
      <c r="W71" s="150"/>
      <c r="X71" s="150"/>
      <c r="Y71" s="150"/>
      <c r="Z71" s="150"/>
      <c r="AA71" s="150"/>
      <c r="AB71" s="150"/>
      <c r="AC71" s="150"/>
      <c r="AD71" s="150"/>
      <c r="AE71" s="150"/>
      <c r="AF71" s="150"/>
      <c r="AG71" s="150"/>
      <c r="AH71" s="150"/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70"/>
      <c r="BD71" s="170"/>
      <c r="BE71" s="170"/>
      <c r="BF71" s="170"/>
      <c r="BG71" s="170"/>
      <c r="BH71" s="170"/>
      <c r="BI71" s="170"/>
      <c r="BJ71" s="170"/>
      <c r="BK71" s="167">
        <f t="shared" si="27"/>
        <v>0</v>
      </c>
      <c r="BL71" s="167">
        <f t="shared" si="28"/>
        <v>0</v>
      </c>
      <c r="BM71" s="167">
        <f t="shared" si="29"/>
        <v>0</v>
      </c>
      <c r="BN71" s="167">
        <f t="shared" si="30"/>
        <v>0</v>
      </c>
    </row>
    <row r="72" spans="1:66" s="168" customFormat="1" hidden="1" outlineLevel="1" collapsed="1" x14ac:dyDescent="0.3">
      <c r="A72" s="164">
        <v>6</v>
      </c>
      <c r="B72" s="183" t="s">
        <v>22</v>
      </c>
      <c r="C72" s="183" t="s">
        <v>63</v>
      </c>
      <c r="D72" s="183"/>
      <c r="E72" s="183" t="str">
        <f>VLOOKUP(A72,'Bevétel 2a SZH 2023'!B:C,2,0)</f>
        <v>Egyéb finanszírozású képzési költségvetés allokáció célszervezetre</v>
      </c>
      <c r="F72" s="183" t="s">
        <v>2696</v>
      </c>
      <c r="G72" s="183"/>
      <c r="H72" s="164" t="s">
        <v>2617</v>
      </c>
      <c r="I72" s="165">
        <f>IFERROR(VLOOKUP($A72,'Bevétel 2a SZH 2023'!$B:$L,MATCH($I$1,'Bevétel 2a SZH 2023'!$B$1:$L$1,0),0), )</f>
        <v>-616949</v>
      </c>
      <c r="J72" s="165">
        <f t="shared" si="25"/>
        <v>-616948.69508576312</v>
      </c>
      <c r="K72" s="150">
        <f t="shared" si="16"/>
        <v>-0.30491423688363284</v>
      </c>
      <c r="L72" s="150">
        <f t="shared" si="26"/>
        <v>-616948.69508576312</v>
      </c>
      <c r="M72" s="166"/>
      <c r="N72" s="165">
        <f>SUM(N75:N78)</f>
        <v>-64405.055204116783</v>
      </c>
      <c r="O72" s="165">
        <f>SUM(O75:O78)</f>
        <v>-127152.68214273719</v>
      </c>
      <c r="P72" s="165">
        <f t="shared" ref="P72:Y72" si="31">SUM(P75:P78)</f>
        <v>-2949.8498566771045</v>
      </c>
      <c r="Q72" s="165">
        <f t="shared" si="31"/>
        <v>-241035.50939854115</v>
      </c>
      <c r="R72" s="165">
        <f t="shared" si="31"/>
        <v>-7374.6246416927615</v>
      </c>
      <c r="S72" s="165">
        <f t="shared" si="31"/>
        <v>-19665.665711180696</v>
      </c>
      <c r="T72" s="165">
        <f t="shared" si="31"/>
        <v>-19665.665711180696</v>
      </c>
      <c r="U72" s="165">
        <f t="shared" si="31"/>
        <v>-29987.905475493695</v>
      </c>
      <c r="V72" s="165">
        <f t="shared" si="31"/>
        <v>-16224.174211724074</v>
      </c>
      <c r="W72" s="165">
        <f t="shared" si="31"/>
        <v>-15732.532568944558</v>
      </c>
      <c r="X72" s="165">
        <f t="shared" si="31"/>
        <v>-1966.5665711180698</v>
      </c>
      <c r="Y72" s="165">
        <f t="shared" si="31"/>
        <v>-68338.188346352923</v>
      </c>
      <c r="Z72" s="165">
        <f>SUM(Z75:Z78)</f>
        <v>-2450.2752460034098</v>
      </c>
      <c r="AA72" s="165">
        <f>SUM(AA75:AA78)</f>
        <v>0</v>
      </c>
      <c r="AB72" s="165">
        <f>SUM(AB75:AB78)</f>
        <v>0</v>
      </c>
      <c r="AC72" s="165"/>
      <c r="AD72" s="165"/>
      <c r="AE72" s="165"/>
      <c r="AF72" s="165"/>
      <c r="AG72" s="165"/>
      <c r="AH72" s="165"/>
      <c r="AI72" s="165"/>
      <c r="AJ72" s="165"/>
      <c r="AK72" s="165"/>
      <c r="AL72" s="165"/>
      <c r="AM72" s="165"/>
      <c r="AN72" s="165"/>
      <c r="AO72" s="165"/>
      <c r="AP72" s="165"/>
      <c r="AQ72" s="165"/>
      <c r="AR72" s="165"/>
      <c r="AS72" s="165"/>
      <c r="AT72" s="165"/>
      <c r="AU72" s="165"/>
      <c r="AV72" s="165"/>
      <c r="AW72" s="165"/>
      <c r="AX72" s="165"/>
      <c r="AY72" s="165"/>
      <c r="AZ72" s="165"/>
      <c r="BA72" s="165"/>
      <c r="BB72" s="165"/>
      <c r="BC72" s="165"/>
      <c r="BD72" s="165"/>
      <c r="BE72" s="165"/>
      <c r="BF72" s="165"/>
      <c r="BG72" s="165"/>
      <c r="BH72" s="165"/>
      <c r="BI72" s="165"/>
      <c r="BJ72" s="165"/>
      <c r="BK72" s="167">
        <f t="shared" si="27"/>
        <v>-616948.69508576312</v>
      </c>
      <c r="BL72" s="167">
        <f t="shared" si="28"/>
        <v>0</v>
      </c>
      <c r="BM72" s="167">
        <f t="shared" si="29"/>
        <v>0</v>
      </c>
      <c r="BN72" s="167">
        <f t="shared" si="30"/>
        <v>0</v>
      </c>
    </row>
    <row r="73" spans="1:66" s="171" customFormat="1" hidden="1" outlineLevel="2" x14ac:dyDescent="0.3">
      <c r="A73" s="169"/>
      <c r="B73" s="186" t="s">
        <v>2863</v>
      </c>
      <c r="C73" s="186" t="s">
        <v>63</v>
      </c>
      <c r="D73" s="186" t="s">
        <v>2818</v>
      </c>
      <c r="E73" s="186" t="s">
        <v>2576</v>
      </c>
      <c r="F73" s="183" t="s">
        <v>2697</v>
      </c>
      <c r="G73" s="186">
        <v>255</v>
      </c>
      <c r="H73" s="169" t="s">
        <v>543</v>
      </c>
      <c r="I73" s="150">
        <f>VLOOKUP($I$1,'3.a'!B:V,17,0)</f>
        <v>-1.7271668184548616E-6</v>
      </c>
      <c r="J73" s="165">
        <f t="shared" si="25"/>
        <v>-1.7271668184548616E-6</v>
      </c>
      <c r="K73" s="150">
        <f t="shared" si="16"/>
        <v>0</v>
      </c>
      <c r="L73" s="150">
        <f t="shared" si="26"/>
        <v>-1.7271668184548616E-6</v>
      </c>
      <c r="M73" s="166"/>
      <c r="N73" s="150"/>
      <c r="O73" s="150"/>
      <c r="P73" s="150"/>
      <c r="Q73" s="150"/>
      <c r="R73" s="150"/>
      <c r="S73" s="150"/>
      <c r="T73" s="150"/>
      <c r="U73" s="150"/>
      <c r="V73" s="150"/>
      <c r="W73" s="150"/>
      <c r="X73" s="150"/>
      <c r="Y73" s="150"/>
      <c r="Z73" s="150"/>
      <c r="AA73" s="150"/>
      <c r="AB73" s="150"/>
      <c r="AC73" s="150"/>
      <c r="AD73" s="150"/>
      <c r="AE73" s="150"/>
      <c r="AF73" s="150"/>
      <c r="AG73" s="150"/>
      <c r="AH73" s="150"/>
      <c r="AI73" s="150"/>
      <c r="AJ73" s="150"/>
      <c r="AK73" s="150"/>
      <c r="AL73" s="150">
        <f>+I73</f>
        <v>-1.7271668184548616E-6</v>
      </c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170"/>
      <c r="BD73" s="170"/>
      <c r="BE73" s="170"/>
      <c r="BF73" s="170"/>
      <c r="BG73" s="170"/>
      <c r="BH73" s="170"/>
      <c r="BI73" s="170"/>
      <c r="BJ73" s="170"/>
      <c r="BK73" s="167">
        <f t="shared" si="27"/>
        <v>0</v>
      </c>
      <c r="BL73" s="167">
        <f t="shared" si="28"/>
        <v>0</v>
      </c>
      <c r="BM73" s="167">
        <f t="shared" si="29"/>
        <v>-1.7271668184548616E-6</v>
      </c>
      <c r="BN73" s="167">
        <f t="shared" si="30"/>
        <v>0</v>
      </c>
    </row>
    <row r="74" spans="1:66" s="171" customFormat="1" hidden="1" outlineLevel="2" x14ac:dyDescent="0.3">
      <c r="A74" s="169"/>
      <c r="B74" s="186" t="s">
        <v>2583</v>
      </c>
      <c r="C74" s="186" t="s">
        <v>63</v>
      </c>
      <c r="D74" s="186" t="s">
        <v>2818</v>
      </c>
      <c r="E74" s="186" t="s">
        <v>2583</v>
      </c>
      <c r="F74" s="183" t="s">
        <v>2697</v>
      </c>
      <c r="G74" s="186">
        <v>294</v>
      </c>
      <c r="H74" s="169" t="s">
        <v>604</v>
      </c>
      <c r="I74" s="150">
        <f>-VLOOKUP($I$1,'3.a'!B:V,18,0)</f>
        <v>-636759.61435942852</v>
      </c>
      <c r="J74" s="165">
        <f t="shared" si="25"/>
        <v>-636759.61435942852</v>
      </c>
      <c r="K74" s="150">
        <f t="shared" si="16"/>
        <v>0</v>
      </c>
      <c r="L74" s="150">
        <f t="shared" si="26"/>
        <v>0</v>
      </c>
      <c r="M74" s="166"/>
      <c r="N74" s="150"/>
      <c r="O74" s="150"/>
      <c r="P74" s="150"/>
      <c r="Q74" s="150"/>
      <c r="R74" s="150"/>
      <c r="S74" s="150"/>
      <c r="T74" s="150"/>
      <c r="U74" s="150"/>
      <c r="V74" s="150"/>
      <c r="W74" s="150"/>
      <c r="X74" s="150"/>
      <c r="Y74" s="150"/>
      <c r="Z74" s="150"/>
      <c r="AA74" s="150"/>
      <c r="AB74" s="150"/>
      <c r="AC74" s="150"/>
      <c r="AD74" s="150"/>
      <c r="AE74" s="150"/>
      <c r="AF74" s="150"/>
      <c r="AG74" s="150"/>
      <c r="AH74" s="150"/>
      <c r="AI74" s="150"/>
      <c r="AJ74" s="150"/>
      <c r="AK74" s="150"/>
      <c r="AL74" s="150">
        <f>+I74</f>
        <v>-636759.61435942852</v>
      </c>
      <c r="AM74" s="150"/>
      <c r="AN74" s="150"/>
      <c r="AO74" s="150"/>
      <c r="AP74" s="150"/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170"/>
      <c r="BD74" s="170"/>
      <c r="BE74" s="170"/>
      <c r="BF74" s="170">
        <f>-I74</f>
        <v>636759.61435942852</v>
      </c>
      <c r="BG74" s="170"/>
      <c r="BH74" s="170"/>
      <c r="BI74" s="170"/>
      <c r="BJ74" s="170"/>
      <c r="BK74" s="167">
        <f t="shared" si="27"/>
        <v>0</v>
      </c>
      <c r="BL74" s="167">
        <f t="shared" si="28"/>
        <v>0</v>
      </c>
      <c r="BM74" s="167">
        <f t="shared" si="29"/>
        <v>-636759.61435942852</v>
      </c>
      <c r="BN74" s="167">
        <f t="shared" si="30"/>
        <v>636759.61435942852</v>
      </c>
    </row>
    <row r="75" spans="1:66" s="171" customFormat="1" hidden="1" outlineLevel="2" x14ac:dyDescent="0.3">
      <c r="A75" s="169"/>
      <c r="B75" s="186" t="s">
        <v>2859</v>
      </c>
      <c r="C75" s="186" t="s">
        <v>63</v>
      </c>
      <c r="D75" s="186"/>
      <c r="E75" s="186" t="s">
        <v>2580</v>
      </c>
      <c r="F75" s="183" t="s">
        <v>63</v>
      </c>
      <c r="G75" s="186">
        <v>286</v>
      </c>
      <c r="H75" s="169" t="s">
        <v>591</v>
      </c>
      <c r="I75" s="150">
        <f>+I73+I74</f>
        <v>-636759.61436115566</v>
      </c>
      <c r="J75" s="165">
        <f t="shared" si="25"/>
        <v>0</v>
      </c>
      <c r="K75" s="150">
        <f t="shared" si="16"/>
        <v>-636759.61436115566</v>
      </c>
      <c r="L75" s="150">
        <f t="shared" si="26"/>
        <v>0</v>
      </c>
      <c r="M75" s="173" t="s">
        <v>1340</v>
      </c>
      <c r="N75" s="150">
        <f>IFERROR(VLOOKUP(N$1,'22.b2'!$D:$H,5,0),0)</f>
        <v>0</v>
      </c>
      <c r="O75" s="150">
        <f>IFERROR(VLOOKUP(O$1,'22.b2'!$D:$H,5,0),0)</f>
        <v>-112403.43285935167</v>
      </c>
      <c r="P75" s="150">
        <f>IFERROR(VLOOKUP(P$1,'22.b2'!$D:$H,5,0),0)</f>
        <v>0</v>
      </c>
      <c r="Q75" s="150">
        <f>IFERROR(VLOOKUP(Q$1,'22.b2'!$D:$H,5,0),0)</f>
        <v>-220878.20204458095</v>
      </c>
      <c r="R75" s="150">
        <f>IFERROR(VLOOKUP(R$1,'22.b2'!$D:$H,5,0),0)</f>
        <v>0</v>
      </c>
      <c r="S75" s="150">
        <f>IFERROR(VLOOKUP(S$1,'22.b2'!$D:$H,5,0),0)</f>
        <v>0</v>
      </c>
      <c r="T75" s="150">
        <f>IFERROR(VLOOKUP(T$1,'22.b2'!$D:$H,5,0),0)</f>
        <v>0</v>
      </c>
      <c r="U75" s="150">
        <f>IFERROR(VLOOKUP(U$1,'22.b2'!$D:$H,5,0),0)</f>
        <v>-1964.3318370612005</v>
      </c>
      <c r="V75" s="150">
        <f>IFERROR(VLOOKUP(V$1,'22.b2'!$D:$H,5,0),0)</f>
        <v>0</v>
      </c>
      <c r="W75" s="150">
        <f>IFERROR(VLOOKUP(W$1,'22.b2'!$D:$H,5,0),0)</f>
        <v>0</v>
      </c>
      <c r="X75" s="150">
        <f>IFERROR(VLOOKUP(X$1,'22.b2'!$D:$H,5,0),0)</f>
        <v>0</v>
      </c>
      <c r="Y75" s="150">
        <f>IFERROR(VLOOKUP(Y$1,'22.b2'!$D:$H,5,0),0)</f>
        <v>0</v>
      </c>
      <c r="Z75" s="150">
        <f>IFERROR(VLOOKUP(Z$1,'22.b2'!$D:$H,5,0),0)</f>
        <v>-13411.644951364711</v>
      </c>
      <c r="AA75" s="150">
        <f>IFERROR(VLOOKUP(AA$1,'22.b2'!$D:$H,5,0),0)</f>
        <v>0</v>
      </c>
      <c r="AB75" s="150"/>
      <c r="AC75" s="150">
        <f>IFERROR(VLOOKUP($I$1,'22.b2'!$C:$H,6,0),0)</f>
        <v>-288102.00266879721</v>
      </c>
      <c r="AD75" s="150"/>
      <c r="AE75" s="150"/>
      <c r="AF75" s="150"/>
      <c r="AG75" s="150"/>
      <c r="AH75" s="150"/>
      <c r="AI75" s="150"/>
      <c r="AJ75" s="150"/>
      <c r="AK75" s="150"/>
      <c r="AL75" s="150">
        <f>-I75</f>
        <v>636759.61436115566</v>
      </c>
      <c r="AM75" s="150"/>
      <c r="AN75" s="150"/>
      <c r="AO75" s="150"/>
      <c r="AP75" s="174"/>
      <c r="AQ75" s="174"/>
      <c r="AR75" s="174"/>
      <c r="AS75" s="174"/>
      <c r="AT75" s="174"/>
      <c r="AU75" s="174"/>
      <c r="AV75" s="174"/>
      <c r="AW75" s="174"/>
      <c r="AX75" s="174"/>
      <c r="AY75" s="174"/>
      <c r="AZ75" s="174"/>
      <c r="BA75" s="174"/>
      <c r="BB75" s="174"/>
      <c r="BC75" s="170"/>
      <c r="BD75" s="170"/>
      <c r="BE75" s="170"/>
      <c r="BF75" s="170"/>
      <c r="BG75" s="170"/>
      <c r="BH75" s="170"/>
      <c r="BI75" s="170"/>
      <c r="BJ75" s="170"/>
      <c r="BK75" s="167">
        <f t="shared" si="27"/>
        <v>-348657.61169235857</v>
      </c>
      <c r="BL75" s="167">
        <f>+AC75</f>
        <v>-288102.00266879721</v>
      </c>
      <c r="BM75" s="167">
        <f>+SUM(AC75:AO75)</f>
        <v>348657.61169235845</v>
      </c>
      <c r="BN75" s="167">
        <f t="shared" si="30"/>
        <v>0</v>
      </c>
    </row>
    <row r="76" spans="1:66" s="171" customFormat="1" hidden="1" outlineLevel="2" x14ac:dyDescent="0.3">
      <c r="A76" s="169"/>
      <c r="B76" s="186" t="s">
        <v>2859</v>
      </c>
      <c r="C76" s="186" t="s">
        <v>63</v>
      </c>
      <c r="D76" s="186"/>
      <c r="E76" s="186" t="s">
        <v>2581</v>
      </c>
      <c r="F76" s="183" t="s">
        <v>63</v>
      </c>
      <c r="G76" s="186">
        <v>286</v>
      </c>
      <c r="H76" s="169" t="s">
        <v>591</v>
      </c>
      <c r="I76" s="150">
        <v>0</v>
      </c>
      <c r="J76" s="165">
        <f t="shared" si="25"/>
        <v>0</v>
      </c>
      <c r="K76" s="150">
        <f t="shared" si="16"/>
        <v>0</v>
      </c>
      <c r="L76" s="150">
        <f t="shared" si="26"/>
        <v>0</v>
      </c>
      <c r="M76" s="175">
        <v>3</v>
      </c>
      <c r="N76" s="150">
        <f>IFERROR(VLOOKUP($M76,'1 b felosztások'!$A:$AE,'1 b felosztások'!C$2,0)*-$AC76,0)</f>
        <v>-64405.055204116783</v>
      </c>
      <c r="O76" s="150">
        <f>IFERROR(VLOOKUP($M76,'1 b felosztások'!$A:$AE,'1 b felosztások'!D$2,0)*-$AC76,0)</f>
        <v>-14749.249283385523</v>
      </c>
      <c r="P76" s="150">
        <f>IFERROR(VLOOKUP($M76,'1 b felosztások'!$A:$AE,'1 b felosztások'!E$2,0)*-$AC76,0)</f>
        <v>-2949.8498566771045</v>
      </c>
      <c r="Q76" s="150">
        <f>IFERROR(VLOOKUP($M76,'1 b felosztások'!$A:$AE,'1 b felosztások'!F$2,0)*-$AC76,0)</f>
        <v>-20157.307353960216</v>
      </c>
      <c r="R76" s="150">
        <f>IFERROR(VLOOKUP($M76,'1 b felosztások'!$A:$AE,'1 b felosztások'!G$2,0)*-$AC76,0)</f>
        <v>-7374.6246416927615</v>
      </c>
      <c r="S76" s="150">
        <f>IFERROR(VLOOKUP($M76,'1 b felosztások'!$A:$AE,'1 b felosztások'!H$2,0)*-$AC76,0)</f>
        <v>-19665.665711180696</v>
      </c>
      <c r="T76" s="150">
        <f>IFERROR(VLOOKUP($M76,'1 b felosztások'!$A:$AE,'1 b felosztások'!I$2,0)*-$AC76,0)</f>
        <v>-19665.665711180696</v>
      </c>
      <c r="U76" s="150">
        <f>IFERROR(VLOOKUP($M76,'1 b felosztások'!$A:$AE,'1 b felosztások'!J$2,0)*-$AC76,0)</f>
        <v>-28023.573638432495</v>
      </c>
      <c r="V76" s="150">
        <f>IFERROR(VLOOKUP($M76,'1 b felosztások'!$A:$AE,'1 b felosztások'!K$2,0)*-$AC76,0)</f>
        <v>-16224.174211724074</v>
      </c>
      <c r="W76" s="150">
        <f>IFERROR(VLOOKUP($M76,'1 b felosztások'!$A:$AE,'1 b felosztások'!L$2,0)*-$AC76,0)</f>
        <v>-15732.532568944558</v>
      </c>
      <c r="X76" s="150">
        <f>IFERROR(VLOOKUP($M76,'1 b felosztások'!$A:$AE,'1 b felosztások'!M$2,0)*-$AC76,0)</f>
        <v>-1966.5665711180698</v>
      </c>
      <c r="Y76" s="150">
        <f>IFERROR(VLOOKUP($M76,'1 b felosztások'!$A:$AE,'1 b felosztások'!N$2,0)*-$AC76,0)</f>
        <v>-68338.188346352923</v>
      </c>
      <c r="Z76" s="150">
        <f>IFERROR(VLOOKUP($M76,'1 b felosztások'!$A:$AE,'1 b felosztások'!O$2,0)*-$AC76,0)</f>
        <v>-8849.5495700313131</v>
      </c>
      <c r="AA76" s="150">
        <f>IFERROR(VLOOKUP($M76,'1 b felosztások'!$A:$AE,'1 b felosztások'!P$2,0)*-$AC76,0)</f>
        <v>0</v>
      </c>
      <c r="AB76" s="150"/>
      <c r="AC76" s="176">
        <f>-AC75</f>
        <v>288102.00266879721</v>
      </c>
      <c r="AD76" s="150"/>
      <c r="AE76" s="150"/>
      <c r="AF76" s="150"/>
      <c r="AG76" s="150"/>
      <c r="AH76" s="150"/>
      <c r="AI76" s="150"/>
      <c r="AJ76" s="150"/>
      <c r="AK76" s="150"/>
      <c r="AL76" s="150"/>
      <c r="AM76" s="150"/>
      <c r="AN76" s="150"/>
      <c r="AO76" s="150"/>
      <c r="AP76" s="174"/>
      <c r="AQ76" s="174"/>
      <c r="AR76" s="174"/>
      <c r="AS76" s="174"/>
      <c r="AT76" s="174"/>
      <c r="AU76" s="174"/>
      <c r="AV76" s="174"/>
      <c r="AW76" s="174"/>
      <c r="AX76" s="174"/>
      <c r="AY76" s="174"/>
      <c r="AZ76" s="174"/>
      <c r="BA76" s="174"/>
      <c r="BB76" s="174"/>
      <c r="BC76" s="170"/>
      <c r="BD76" s="170"/>
      <c r="BE76" s="170"/>
      <c r="BF76" s="170"/>
      <c r="BG76" s="170"/>
      <c r="BH76" s="170"/>
      <c r="BI76" s="170"/>
      <c r="BJ76" s="170"/>
      <c r="BK76" s="167">
        <f t="shared" si="27"/>
        <v>-288102.00266879721</v>
      </c>
      <c r="BL76" s="167">
        <f>+AC76</f>
        <v>288102.00266879721</v>
      </c>
      <c r="BM76" s="167">
        <f>+SUM(AC76:AO76)</f>
        <v>288102.00266879721</v>
      </c>
      <c r="BN76" s="167">
        <f t="shared" si="30"/>
        <v>0</v>
      </c>
    </row>
    <row r="77" spans="1:66" s="171" customFormat="1" hidden="1" outlineLevel="2" x14ac:dyDescent="0.3">
      <c r="A77" s="169"/>
      <c r="B77" s="186" t="s">
        <v>2582</v>
      </c>
      <c r="C77" s="186" t="s">
        <v>63</v>
      </c>
      <c r="D77" s="186" t="s">
        <v>2819</v>
      </c>
      <c r="E77" s="186" t="s">
        <v>2582</v>
      </c>
      <c r="F77" s="183" t="s">
        <v>63</v>
      </c>
      <c r="G77" s="186">
        <v>301</v>
      </c>
      <c r="H77" s="169" t="s">
        <v>617</v>
      </c>
      <c r="I77" s="150">
        <f>VLOOKUP($I$1,'3.a'!B:V,19,0)</f>
        <v>19810.919275392615</v>
      </c>
      <c r="J77" s="165">
        <f t="shared" si="25"/>
        <v>19810.919275392615</v>
      </c>
      <c r="K77" s="150">
        <f t="shared" si="16"/>
        <v>0</v>
      </c>
      <c r="L77" s="150">
        <f t="shared" si="26"/>
        <v>0</v>
      </c>
      <c r="M77" s="173" t="s">
        <v>1341</v>
      </c>
      <c r="N77" s="150">
        <f>IFERROR(VLOOKUP(N$1,'22.b3'!$D:$H,5,0),0)</f>
        <v>0</v>
      </c>
      <c r="O77" s="150">
        <f>IFERROR(VLOOKUP(O$1,'22.b3'!$D:$H,5,0),0)</f>
        <v>0</v>
      </c>
      <c r="P77" s="150">
        <f>IFERROR(VLOOKUP(P$1,'22.b3'!$D:$H,5,0),0)</f>
        <v>0</v>
      </c>
      <c r="Q77" s="150">
        <f>IFERROR(VLOOKUP(Q$1,'22.b3'!$D:$H,5,0),0)</f>
        <v>0</v>
      </c>
      <c r="R77" s="150">
        <f>IFERROR(VLOOKUP(R$1,'22.b3'!$D:$H,5,0),0)</f>
        <v>0</v>
      </c>
      <c r="S77" s="150">
        <f>IFERROR(VLOOKUP(S$1,'22.b3'!$D:$H,5,0),0)</f>
        <v>0</v>
      </c>
      <c r="T77" s="150">
        <f>IFERROR(VLOOKUP(T$1,'22.b3'!$D:$H,5,0),0)</f>
        <v>0</v>
      </c>
      <c r="U77" s="150">
        <f>IFERROR(VLOOKUP(U$1,'22.b3'!$D:$H,5,0),0)</f>
        <v>0</v>
      </c>
      <c r="V77" s="150">
        <f>IFERROR(VLOOKUP(V$1,'22.b3'!$D:$H,5,0),0)</f>
        <v>0</v>
      </c>
      <c r="W77" s="150">
        <f>IFERROR(VLOOKUP(W$1,'22.b3'!$D:$H,5,0),0)</f>
        <v>0</v>
      </c>
      <c r="X77" s="150">
        <f>IFERROR(VLOOKUP(X$1,'22.b3'!$D:$H,5,0),0)</f>
        <v>0</v>
      </c>
      <c r="Y77" s="150">
        <f>IFERROR(VLOOKUP(Y$1,'22.b3'!$D:$H,5,0),0)</f>
        <v>0</v>
      </c>
      <c r="Z77" s="150">
        <f>IFERROR(VLOOKUP(Z$1,'22.b3'!$D:$H,5,0),0)</f>
        <v>19810.919275392615</v>
      </c>
      <c r="AA77" s="150">
        <f>IFERROR(VLOOKUP(AA$1,'22.b3'!$D:$H,5,0),0)</f>
        <v>0</v>
      </c>
      <c r="AB77" s="150">
        <f>IFERROR(VLOOKUP($I$1,'22.b3'!$C:$H,6,0),0)</f>
        <v>0</v>
      </c>
      <c r="AC77" s="150"/>
      <c r="AD77" s="150"/>
      <c r="AE77" s="150"/>
      <c r="AF77" s="150"/>
      <c r="AG77" s="150"/>
      <c r="AH77" s="150"/>
      <c r="AI77" s="150"/>
      <c r="AJ77" s="150"/>
      <c r="AK77" s="150"/>
      <c r="AL77" s="150"/>
      <c r="AM77" s="150"/>
      <c r="AN77" s="150"/>
      <c r="AO77" s="150"/>
      <c r="AP77" s="174"/>
      <c r="AQ77" s="174"/>
      <c r="AR77" s="174"/>
      <c r="AS77" s="174"/>
      <c r="AT77" s="174"/>
      <c r="AU77" s="174"/>
      <c r="AV77" s="174"/>
      <c r="AW77" s="174"/>
      <c r="AX77" s="174"/>
      <c r="AY77" s="174"/>
      <c r="AZ77" s="174"/>
      <c r="BA77" s="174"/>
      <c r="BB77" s="174"/>
      <c r="BC77" s="170"/>
      <c r="BD77" s="170"/>
      <c r="BE77" s="170"/>
      <c r="BF77" s="170">
        <f>-I77</f>
        <v>-19810.919275392615</v>
      </c>
      <c r="BG77" s="170"/>
      <c r="BH77" s="170"/>
      <c r="BI77" s="170"/>
      <c r="BJ77" s="170"/>
      <c r="BK77" s="167">
        <f t="shared" si="27"/>
        <v>19810.919275392615</v>
      </c>
      <c r="BL77" s="167">
        <f t="shared" si="28"/>
        <v>0</v>
      </c>
      <c r="BM77" s="167">
        <f t="shared" si="29"/>
        <v>0</v>
      </c>
      <c r="BN77" s="167">
        <f t="shared" si="30"/>
        <v>-19810.919275392615</v>
      </c>
    </row>
    <row r="78" spans="1:66" s="171" customFormat="1" hidden="1" outlineLevel="2" x14ac:dyDescent="0.3">
      <c r="A78" s="169"/>
      <c r="B78" s="186" t="s">
        <v>2582</v>
      </c>
      <c r="C78" s="186" t="s">
        <v>63</v>
      </c>
      <c r="D78" s="186" t="s">
        <v>2819</v>
      </c>
      <c r="E78" s="186" t="s">
        <v>2668</v>
      </c>
      <c r="F78" s="183" t="s">
        <v>63</v>
      </c>
      <c r="G78" s="186">
        <v>301</v>
      </c>
      <c r="H78" s="169" t="s">
        <v>617</v>
      </c>
      <c r="I78" s="150">
        <v>0</v>
      </c>
      <c r="J78" s="165">
        <f t="shared" si="25"/>
        <v>0</v>
      </c>
      <c r="K78" s="150">
        <f>+I78-J78</f>
        <v>0</v>
      </c>
      <c r="L78" s="150">
        <f t="shared" si="26"/>
        <v>0</v>
      </c>
      <c r="M78" s="175">
        <v>3</v>
      </c>
      <c r="N78" s="150">
        <f>IFERROR(VLOOKUP($M78,'1 b felosztások'!$A:$AE,'1 b felosztások'!C$2,0)*-$AB78,0)</f>
        <v>0</v>
      </c>
      <c r="O78" s="150">
        <f>IFERROR(VLOOKUP($M78,'1 b felosztások'!$A:$AE,'1 b felosztások'!D$2,0)*-$AB78,0)</f>
        <v>0</v>
      </c>
      <c r="P78" s="150">
        <f>IFERROR(VLOOKUP($M78,'1 b felosztások'!$A:$AE,'1 b felosztások'!E$2,0)*-$AB78,0)</f>
        <v>0</v>
      </c>
      <c r="Q78" s="150">
        <f>IFERROR(VLOOKUP($M78,'1 b felosztások'!$A:$AE,'1 b felosztások'!F$2,0)*-$AB78,0)</f>
        <v>0</v>
      </c>
      <c r="R78" s="150">
        <f>IFERROR(VLOOKUP($M78,'1 b felosztások'!$A:$AE,'1 b felosztások'!G$2,0)*-$AB78,0)</f>
        <v>0</v>
      </c>
      <c r="S78" s="150">
        <f>IFERROR(VLOOKUP($M78,'1 b felosztások'!$A:$AE,'1 b felosztások'!H$2,0)*-$AB78,0)</f>
        <v>0</v>
      </c>
      <c r="T78" s="150">
        <f>IFERROR(VLOOKUP($M78,'1 b felosztások'!$A:$AE,'1 b felosztások'!I$2,0)*-$AB78,0)</f>
        <v>0</v>
      </c>
      <c r="U78" s="150">
        <f>IFERROR(VLOOKUP($M78,'1 b felosztások'!$A:$AE,'1 b felosztások'!J$2,0)*-$AB78,0)</f>
        <v>0</v>
      </c>
      <c r="V78" s="150">
        <f>IFERROR(VLOOKUP($M78,'1 b felosztások'!$A:$AE,'1 b felosztások'!K$2,0)*-$AB78,0)</f>
        <v>0</v>
      </c>
      <c r="W78" s="150">
        <f>IFERROR(VLOOKUP($M78,'1 b felosztások'!$A:$AE,'1 b felosztások'!L$2,0)*-$AB78,0)</f>
        <v>0</v>
      </c>
      <c r="X78" s="150">
        <f>IFERROR(VLOOKUP($M78,'1 b felosztások'!$A:$AE,'1 b felosztások'!M$2,0)*-$AB78,0)</f>
        <v>0</v>
      </c>
      <c r="Y78" s="150">
        <f>IFERROR(VLOOKUP($M78,'1 b felosztások'!$A:$AE,'1 b felosztások'!N$2,0)*-$AB78,0)</f>
        <v>0</v>
      </c>
      <c r="Z78" s="150">
        <f>IFERROR(VLOOKUP($M78,'1 b felosztások'!$A:$AE,'1 b felosztások'!O$2,0)*-$AB78,0)</f>
        <v>0</v>
      </c>
      <c r="AA78" s="150">
        <f>IFERROR(VLOOKUP($M78,'1 b felosztások'!$A:$AE,'1 b felosztások'!P$2,0)*-$AB78,0)</f>
        <v>0</v>
      </c>
      <c r="AB78" s="150">
        <f>-AB77</f>
        <v>0</v>
      </c>
      <c r="AC78" s="150"/>
      <c r="AD78" s="150"/>
      <c r="AE78" s="150"/>
      <c r="AF78" s="150"/>
      <c r="AG78" s="150"/>
      <c r="AH78" s="150"/>
      <c r="AI78" s="150"/>
      <c r="AJ78" s="150"/>
      <c r="AK78" s="150"/>
      <c r="AL78" s="150"/>
      <c r="AM78" s="150"/>
      <c r="AN78" s="150"/>
      <c r="AO78" s="150"/>
      <c r="AP78" s="174"/>
      <c r="AQ78" s="174"/>
      <c r="AR78" s="174"/>
      <c r="AS78" s="174"/>
      <c r="AT78" s="174"/>
      <c r="AU78" s="174"/>
      <c r="AV78" s="174"/>
      <c r="AW78" s="174"/>
      <c r="AX78" s="174"/>
      <c r="AY78" s="174"/>
      <c r="AZ78" s="174"/>
      <c r="BA78" s="174"/>
      <c r="BB78" s="174"/>
      <c r="BC78" s="170"/>
      <c r="BD78" s="170"/>
      <c r="BE78" s="170"/>
      <c r="BF78" s="170"/>
      <c r="BG78" s="170"/>
      <c r="BH78" s="170"/>
      <c r="BI78" s="170"/>
      <c r="BJ78" s="170"/>
      <c r="BK78" s="167">
        <f t="shared" si="27"/>
        <v>0</v>
      </c>
      <c r="BL78" s="167">
        <f t="shared" si="28"/>
        <v>0</v>
      </c>
      <c r="BM78" s="167">
        <f t="shared" si="29"/>
        <v>0</v>
      </c>
      <c r="BN78" s="167">
        <f t="shared" si="30"/>
        <v>0</v>
      </c>
    </row>
    <row r="79" spans="1:66" s="171" customFormat="1" hidden="1" outlineLevel="1" x14ac:dyDescent="0.3">
      <c r="A79" s="164" t="s">
        <v>3187</v>
      </c>
      <c r="B79" s="183" t="s">
        <v>23</v>
      </c>
      <c r="C79" s="183" t="s">
        <v>63</v>
      </c>
      <c r="D79" s="183" t="s">
        <v>3268</v>
      </c>
      <c r="E79" s="183" t="str">
        <f>VLOOKUP(A79,'Bevétel 2a SZH 2023'!B:C,2,0)</f>
        <v>Oktatói béremelés fedezete (2018. évi arányban)</v>
      </c>
      <c r="F79" s="183" t="s">
        <v>2696</v>
      </c>
      <c r="G79" s="183">
        <v>322</v>
      </c>
      <c r="H79" s="169" t="s">
        <v>659</v>
      </c>
      <c r="I79" s="165">
        <f>IFERROR(VLOOKUP($A79,'Bevétel 2a SZH 2023'!$B:$L,MATCH($I$1,'Bevétel 2a SZH 2023'!$B$1:$L$1,0),0), )</f>
        <v>79837000</v>
      </c>
      <c r="J79" s="165">
        <f t="shared" si="25"/>
        <v>79837000.000000015</v>
      </c>
      <c r="K79" s="150">
        <f t="shared" si="16"/>
        <v>0</v>
      </c>
      <c r="L79" s="150">
        <f t="shared" si="26"/>
        <v>79837000.000000015</v>
      </c>
      <c r="M79" s="175">
        <v>2</v>
      </c>
      <c r="N79" s="150">
        <f>IFERROR(VLOOKUP($M79,'1 b felosztások'!$A:$AE,'1 b felosztások'!C$2,0)*$I79,0)</f>
        <v>15080322.222222222</v>
      </c>
      <c r="O79" s="150">
        <f>IFERROR(VLOOKUP($M79,'1 b felosztások'!$A:$AE,'1 b felosztások'!D$2,0)*$I79,0)</f>
        <v>7983700</v>
      </c>
      <c r="P79" s="150">
        <f>IFERROR(VLOOKUP($M79,'1 b felosztások'!$A:$AE,'1 b felosztások'!E$2,0)*$I79,0)</f>
        <v>1774155.5555555557</v>
      </c>
      <c r="Q79" s="150">
        <f>IFERROR(VLOOKUP($M79,'1 b felosztások'!$A:$AE,'1 b felosztások'!F$2,0)*$I79,0)</f>
        <v>8870777.777777778</v>
      </c>
      <c r="R79" s="150">
        <f>IFERROR(VLOOKUP($M79,'1 b felosztások'!$A:$AE,'1 b felosztások'!G$2,0)*$I79,0)</f>
        <v>3548311.1111111115</v>
      </c>
      <c r="S79" s="150">
        <f>IFERROR(VLOOKUP($M79,'1 b felosztások'!$A:$AE,'1 b felosztások'!H$2,0)*$I79,0)</f>
        <v>5322466.666666667</v>
      </c>
      <c r="T79" s="150">
        <f>IFERROR(VLOOKUP($M79,'1 b felosztások'!$A:$AE,'1 b felosztások'!I$2,0)*$I79,0)</f>
        <v>1774155.5555555557</v>
      </c>
      <c r="U79" s="150">
        <f>IFERROR(VLOOKUP($M79,'1 b felosztások'!$A:$AE,'1 b felosztások'!J$2,0)*$I79,0)</f>
        <v>5322466.666666667</v>
      </c>
      <c r="V79" s="150">
        <f>IFERROR(VLOOKUP($M79,'1 b felosztások'!$A:$AE,'1 b felosztások'!K$2,0)*$I79,0)</f>
        <v>7096622.2222222229</v>
      </c>
      <c r="W79" s="150">
        <f>IFERROR(VLOOKUP($M79,'1 b felosztások'!$A:$AE,'1 b felosztások'!L$2,0)*$I79,0)</f>
        <v>7983700</v>
      </c>
      <c r="X79" s="150">
        <f>IFERROR(VLOOKUP($M79,'1 b felosztások'!$A:$AE,'1 b felosztások'!M$2,0)*$I79,0)</f>
        <v>4435388.888888889</v>
      </c>
      <c r="Y79" s="150">
        <f>IFERROR(VLOOKUP($M79,'1 b felosztások'!$A:$AE,'1 b felosztások'!N$2,0)*$I79,0)</f>
        <v>6209544.444444445</v>
      </c>
      <c r="Z79" s="150">
        <f>IFERROR(VLOOKUP($M79,'1 b felosztások'!$A:$AE,'1 b felosztások'!O$2,0)*$I79,0)</f>
        <v>4435388.888888889</v>
      </c>
      <c r="AA79" s="150">
        <f>IFERROR(VLOOKUP($M79,'1 b felosztások'!$A:$AE,'1 b felosztások'!P$2,0)*$I79,0)</f>
        <v>0</v>
      </c>
      <c r="AB79" s="150">
        <f>IFERROR(VLOOKUP($M79,'1 b felosztások'!$A:$AE,'1 b felosztások'!Q$2,0)*$I79,0)</f>
        <v>0</v>
      </c>
      <c r="AC79" s="150">
        <f>IFERROR(VLOOKUP($M79,'1 b felosztások'!$A:$AE,'1 b felosztások'!R$2,0)*$I79,0)</f>
        <v>0</v>
      </c>
      <c r="AD79" s="150">
        <f>IFERROR(VLOOKUP($M79,'1 b felosztások'!$A:$AE,'1 b felosztások'!S$2,0)*$I79,0)</f>
        <v>0</v>
      </c>
      <c r="AE79" s="150">
        <f>IFERROR(VLOOKUP($M79,'1 b felosztások'!$A:$AE,'1 b felosztások'!T$2,0)*$I79,0)</f>
        <v>0</v>
      </c>
      <c r="AF79" s="165">
        <f>IFERROR(VLOOKUP($M79,'1 b felosztások'!$A:$E,'1 b felosztások'!J$2,0)*$I79,0)</f>
        <v>0</v>
      </c>
      <c r="AG79" s="165">
        <f>IFERROR(VLOOKUP($M79,'1 b felosztások'!$A:$E,'1 b felosztások'!G$2,0)*$I79,0)</f>
        <v>0</v>
      </c>
      <c r="AH79" s="165">
        <f>IFERROR(VLOOKUP($M79,'1 b felosztások'!$A:$E,'1 b felosztások'!H$2,0)*$I79,0)</f>
        <v>0</v>
      </c>
      <c r="AI79" s="165"/>
      <c r="AJ79" s="165"/>
      <c r="AK79" s="165"/>
      <c r="AL79" s="165"/>
      <c r="AM79" s="165"/>
      <c r="AN79" s="165"/>
      <c r="AO79" s="165"/>
      <c r="AP79" s="165"/>
      <c r="AQ79" s="165"/>
      <c r="AR79" s="165"/>
      <c r="AS79" s="165"/>
      <c r="AT79" s="165"/>
      <c r="AU79" s="165"/>
      <c r="AV79" s="165"/>
      <c r="AW79" s="165"/>
      <c r="AX79" s="165"/>
      <c r="AY79" s="165"/>
      <c r="AZ79" s="165"/>
      <c r="BA79" s="165"/>
      <c r="BB79" s="165"/>
      <c r="BC79" s="167"/>
      <c r="BD79" s="167"/>
      <c r="BE79" s="167"/>
      <c r="BF79" s="167"/>
      <c r="BG79" s="167"/>
      <c r="BH79" s="167"/>
      <c r="BI79" s="167"/>
      <c r="BJ79" s="167"/>
      <c r="BK79" s="167">
        <f t="shared" si="27"/>
        <v>79837000.000000015</v>
      </c>
      <c r="BL79" s="167">
        <f t="shared" si="28"/>
        <v>0</v>
      </c>
      <c r="BM79" s="167">
        <f t="shared" si="29"/>
        <v>0</v>
      </c>
      <c r="BN79" s="167">
        <f t="shared" si="30"/>
        <v>0</v>
      </c>
    </row>
    <row r="80" spans="1:66" s="171" customFormat="1" hidden="1" outlineLevel="1" x14ac:dyDescent="0.3">
      <c r="A80" s="164" t="s">
        <v>3188</v>
      </c>
      <c r="B80" s="183" t="s">
        <v>3228</v>
      </c>
      <c r="C80" s="183" t="s">
        <v>63</v>
      </c>
      <c r="D80" s="183" t="s">
        <v>3269</v>
      </c>
      <c r="E80" s="183" t="str">
        <f>VLOOKUP(A80,'Bevétel 2a SZH 2023'!B:C,2,0)</f>
        <v>Béremelés 2021-2022 fedezete</v>
      </c>
      <c r="F80" s="183" t="s">
        <v>2696</v>
      </c>
      <c r="G80" s="183">
        <v>322</v>
      </c>
      <c r="H80" s="169" t="s">
        <v>659</v>
      </c>
      <c r="I80" s="165">
        <f>IFERROR(VLOOKUP($A80,'Bevétel 2a SZH 2023'!$B:$L,MATCH($I$1,'Bevétel 2a SZH 2023'!$B$1:$L$1,0),0), )</f>
        <v>158670985</v>
      </c>
      <c r="J80" s="165">
        <f t="shared" si="25"/>
        <v>158670984.99999997</v>
      </c>
      <c r="K80" s="150">
        <f t="shared" ref="K80" si="32">+I80-J80</f>
        <v>0</v>
      </c>
      <c r="L80" s="150">
        <f t="shared" si="26"/>
        <v>158670984.99999997</v>
      </c>
      <c r="M80" s="175">
        <v>2</v>
      </c>
      <c r="N80" s="150">
        <f>IFERROR(VLOOKUP($M80,'1 b felosztások'!$A:$AE,'1 b felosztások'!C$2,0)*$I80,0)</f>
        <v>29971186.055555556</v>
      </c>
      <c r="O80" s="150">
        <f>IFERROR(VLOOKUP($M80,'1 b felosztások'!$A:$AE,'1 b felosztások'!D$2,0)*$I80,0)</f>
        <v>15867098.5</v>
      </c>
      <c r="P80" s="150">
        <f>IFERROR(VLOOKUP($M80,'1 b felosztások'!$A:$AE,'1 b felosztások'!E$2,0)*$I80,0)</f>
        <v>3526021.888888889</v>
      </c>
      <c r="Q80" s="150">
        <f>IFERROR(VLOOKUP($M80,'1 b felosztások'!$A:$AE,'1 b felosztások'!F$2,0)*$I80,0)</f>
        <v>17630109.444444444</v>
      </c>
      <c r="R80" s="150">
        <f>IFERROR(VLOOKUP($M80,'1 b felosztások'!$A:$AE,'1 b felosztások'!G$2,0)*$I80,0)</f>
        <v>7052043.777777778</v>
      </c>
      <c r="S80" s="150">
        <f>IFERROR(VLOOKUP($M80,'1 b felosztások'!$A:$AE,'1 b felosztások'!H$2,0)*$I80,0)</f>
        <v>10578065.666666666</v>
      </c>
      <c r="T80" s="150">
        <f>IFERROR(VLOOKUP($M80,'1 b felosztások'!$A:$AE,'1 b felosztások'!I$2,0)*$I80,0)</f>
        <v>3526021.888888889</v>
      </c>
      <c r="U80" s="150">
        <f>IFERROR(VLOOKUP($M80,'1 b felosztások'!$A:$AE,'1 b felosztások'!J$2,0)*$I80,0)</f>
        <v>10578065.666666666</v>
      </c>
      <c r="V80" s="150">
        <f>IFERROR(VLOOKUP($M80,'1 b felosztások'!$A:$AE,'1 b felosztások'!K$2,0)*$I80,0)</f>
        <v>14104087.555555556</v>
      </c>
      <c r="W80" s="150">
        <f>IFERROR(VLOOKUP($M80,'1 b felosztások'!$A:$AE,'1 b felosztások'!L$2,0)*$I80,0)</f>
        <v>15867098.5</v>
      </c>
      <c r="X80" s="150">
        <f>IFERROR(VLOOKUP($M80,'1 b felosztások'!$A:$AE,'1 b felosztások'!M$2,0)*$I80,0)</f>
        <v>8815054.722222222</v>
      </c>
      <c r="Y80" s="150">
        <f>IFERROR(VLOOKUP($M80,'1 b felosztások'!$A:$AE,'1 b felosztások'!N$2,0)*$I80,0)</f>
        <v>12341076.611111112</v>
      </c>
      <c r="Z80" s="150">
        <f>IFERROR(VLOOKUP($M80,'1 b felosztások'!$A:$AE,'1 b felosztások'!O$2,0)*$I80,0)</f>
        <v>8815054.722222222</v>
      </c>
      <c r="AA80" s="150">
        <f>IFERROR(VLOOKUP($M80,'1 b felosztások'!$A:$AE,'1 b felosztások'!P$2,0)*$I80,0)</f>
        <v>0</v>
      </c>
      <c r="AB80" s="150">
        <f>IFERROR(VLOOKUP($M80,'1 b felosztások'!$A:$AE,'1 b felosztások'!Q$2,0)*$I80,0)</f>
        <v>0</v>
      </c>
      <c r="AC80" s="150">
        <f>IFERROR(VLOOKUP($M80,'1 b felosztások'!$A:$AE,'1 b felosztások'!R$2,0)*$I80,0)</f>
        <v>0</v>
      </c>
      <c r="AD80" s="150">
        <f>IFERROR(VLOOKUP($M80,'1 b felosztások'!$A:$AE,'1 b felosztások'!S$2,0)*$I80,0)</f>
        <v>0</v>
      </c>
      <c r="AE80" s="150">
        <f>IFERROR(VLOOKUP($M80,'1 b felosztások'!$A:$AE,'1 b felosztások'!T$2,0)*$I80,0)</f>
        <v>0</v>
      </c>
      <c r="AF80" s="165">
        <f>IFERROR(VLOOKUP($M80,'1 b felosztások'!$A:$E,'1 b felosztások'!J$2,0)*$I80,0)</f>
        <v>0</v>
      </c>
      <c r="AG80" s="165">
        <f>IFERROR(VLOOKUP($M80,'1 b felosztások'!$A:$E,'1 b felosztások'!G$2,0)*$I80,0)</f>
        <v>0</v>
      </c>
      <c r="AH80" s="165">
        <f>IFERROR(VLOOKUP($M80,'1 b felosztások'!$A:$E,'1 b felosztások'!H$2,0)*$I80,0)</f>
        <v>0</v>
      </c>
      <c r="AI80" s="165"/>
      <c r="AJ80" s="165"/>
      <c r="AK80" s="165"/>
      <c r="AL80" s="165"/>
      <c r="AM80" s="165"/>
      <c r="AN80" s="165"/>
      <c r="AO80" s="165"/>
      <c r="AP80" s="165"/>
      <c r="AQ80" s="165"/>
      <c r="AR80" s="165"/>
      <c r="AS80" s="165"/>
      <c r="AT80" s="165"/>
      <c r="AU80" s="165"/>
      <c r="AV80" s="165"/>
      <c r="AW80" s="165"/>
      <c r="AX80" s="165"/>
      <c r="AY80" s="165"/>
      <c r="AZ80" s="165"/>
      <c r="BA80" s="165"/>
      <c r="BB80" s="165"/>
      <c r="BC80" s="167"/>
      <c r="BD80" s="167"/>
      <c r="BE80" s="167"/>
      <c r="BF80" s="167"/>
      <c r="BG80" s="167"/>
      <c r="BH80" s="167"/>
      <c r="BI80" s="167"/>
      <c r="BJ80" s="167"/>
      <c r="BK80" s="167">
        <f t="shared" si="27"/>
        <v>158670984.99999997</v>
      </c>
      <c r="BL80" s="167">
        <f t="shared" si="28"/>
        <v>0</v>
      </c>
      <c r="BM80" s="167">
        <f t="shared" si="29"/>
        <v>0</v>
      </c>
      <c r="BN80" s="167">
        <f t="shared" si="30"/>
        <v>0</v>
      </c>
    </row>
    <row r="81" spans="1:66" s="171" customFormat="1" hidden="1" outlineLevel="1" x14ac:dyDescent="0.3">
      <c r="A81" s="164" t="s">
        <v>3189</v>
      </c>
      <c r="B81" s="183" t="s">
        <v>3751</v>
      </c>
      <c r="C81" s="183" t="s">
        <v>63</v>
      </c>
      <c r="D81" s="183" t="s">
        <v>3793</v>
      </c>
      <c r="E81" s="183" t="str">
        <f>VLOOKUP(A81,'Bevétel 2a SZH 2023'!B:C,2,0)</f>
        <v>Egyetemi minimumbér és béremelés allokáció</v>
      </c>
      <c r="F81" s="183" t="s">
        <v>2696</v>
      </c>
      <c r="G81" s="183">
        <v>322</v>
      </c>
      <c r="H81" s="169" t="s">
        <v>659</v>
      </c>
      <c r="I81" s="165">
        <f>IFERROR(VLOOKUP($A81,'Bevétel 2a SZH 2023'!$B:$L,MATCH($I$1,'Bevétel 2a SZH 2023'!$B$1:$L$1,0),0), )</f>
        <v>89133393</v>
      </c>
      <c r="J81" s="165">
        <f t="shared" ref="J81:J82" si="33">SUM(N81:AO81)</f>
        <v>89133393</v>
      </c>
      <c r="K81" s="150">
        <f t="shared" ref="K81:K82" si="34">+I81-J81</f>
        <v>0</v>
      </c>
      <c r="L81" s="150">
        <f t="shared" si="26"/>
        <v>89133393</v>
      </c>
      <c r="M81" s="175">
        <v>1</v>
      </c>
      <c r="N81" s="150">
        <f>IFERROR(VLOOKUP($M81,'1 b felosztások'!$A:$AE,'1 b felosztások'!C$2,0)*$I81,0)</f>
        <v>15152676.810000001</v>
      </c>
      <c r="O81" s="150">
        <f>IFERROR(VLOOKUP($M81,'1 b felosztások'!$A:$AE,'1 b felosztások'!D$2,0)*$I81,0)</f>
        <v>8022005.3700000001</v>
      </c>
      <c r="P81" s="150">
        <f>IFERROR(VLOOKUP($M81,'1 b felosztások'!$A:$AE,'1 b felosztások'!E$2,0)*$I81,0)</f>
        <v>1782667.86</v>
      </c>
      <c r="Q81" s="150">
        <f>IFERROR(VLOOKUP($M81,'1 b felosztások'!$A:$AE,'1 b felosztások'!F$2,0)*$I81,0)</f>
        <v>8913339.3000000007</v>
      </c>
      <c r="R81" s="150">
        <f>IFERROR(VLOOKUP($M81,'1 b felosztások'!$A:$AE,'1 b felosztások'!G$2,0)*$I81,0)</f>
        <v>3565335.72</v>
      </c>
      <c r="S81" s="150">
        <f>IFERROR(VLOOKUP($M81,'1 b felosztások'!$A:$AE,'1 b felosztások'!H$2,0)*$I81,0)</f>
        <v>5348003.58</v>
      </c>
      <c r="T81" s="150">
        <f>IFERROR(VLOOKUP($M81,'1 b felosztások'!$A:$AE,'1 b felosztások'!I$2,0)*$I81,0)</f>
        <v>1782667.86</v>
      </c>
      <c r="U81" s="150">
        <f>IFERROR(VLOOKUP($M81,'1 b felosztások'!$A:$AE,'1 b felosztások'!J$2,0)*$I81,0)</f>
        <v>5348003.58</v>
      </c>
      <c r="V81" s="150">
        <f>IFERROR(VLOOKUP($M81,'1 b felosztások'!$A:$AE,'1 b felosztások'!K$2,0)*$I81,0)</f>
        <v>7130671.4400000004</v>
      </c>
      <c r="W81" s="150">
        <f>IFERROR(VLOOKUP($M81,'1 b felosztások'!$A:$AE,'1 b felosztások'!L$2,0)*$I81,0)</f>
        <v>8022005.3700000001</v>
      </c>
      <c r="X81" s="150">
        <f>IFERROR(VLOOKUP($M81,'1 b felosztások'!$A:$AE,'1 b felosztások'!M$2,0)*$I81,0)</f>
        <v>4456669.6500000004</v>
      </c>
      <c r="Y81" s="150">
        <f>IFERROR(VLOOKUP($M81,'1 b felosztások'!$A:$AE,'1 b felosztások'!N$2,0)*$I81,0)</f>
        <v>6239337.5100000007</v>
      </c>
      <c r="Z81" s="150">
        <f>IFERROR(VLOOKUP($M81,'1 b felosztások'!$A:$AE,'1 b felosztások'!O$2,0)*$I81,0)</f>
        <v>4456669.6500000004</v>
      </c>
      <c r="AA81" s="150">
        <f>IFERROR(VLOOKUP($M81,'1 b felosztások'!$A:$AE,'1 b felosztások'!P$2,0)*$I81,0)</f>
        <v>8913339.3000000007</v>
      </c>
      <c r="AB81" s="150">
        <f>IFERROR(VLOOKUP($M81,'1 b felosztások'!$A:$AE,'1 b felosztások'!Q$2,0)*$I81,0)</f>
        <v>0</v>
      </c>
      <c r="AC81" s="150">
        <f>IFERROR(VLOOKUP($M81,'1 b felosztások'!$A:$AE,'1 b felosztások'!R$2,0)*$I81,0)</f>
        <v>0</v>
      </c>
      <c r="AD81" s="150">
        <f>IFERROR(VLOOKUP($M81,'1 b felosztások'!$A:$AE,'1 b felosztások'!S$2,0)*$I81,0)</f>
        <v>0</v>
      </c>
      <c r="AE81" s="150">
        <f>IFERROR(VLOOKUP($M81,'1 b felosztások'!$A:$AE,'1 b felosztások'!T$2,0)*$I81,0)</f>
        <v>0</v>
      </c>
      <c r="AF81" s="165">
        <f>IFERROR(VLOOKUP($M81,'1 b felosztások'!$A:$E,'1 b felosztások'!J$2,0)*$I81,0)</f>
        <v>0</v>
      </c>
      <c r="AG81" s="165">
        <f>IFERROR(VLOOKUP($M81,'1 b felosztások'!$A:$E,'1 b felosztások'!G$2,0)*$I81,0)</f>
        <v>0</v>
      </c>
      <c r="AH81" s="165">
        <f>IFERROR(VLOOKUP($M81,'1 b felosztások'!$A:$E,'1 b felosztások'!H$2,0)*$I81,0)</f>
        <v>0</v>
      </c>
      <c r="AI81" s="165"/>
      <c r="AJ81" s="165"/>
      <c r="AK81" s="165"/>
      <c r="AL81" s="165"/>
      <c r="AM81" s="165"/>
      <c r="AN81" s="165"/>
      <c r="AO81" s="165"/>
      <c r="AP81" s="165"/>
      <c r="AQ81" s="165"/>
      <c r="AR81" s="165"/>
      <c r="AS81" s="165"/>
      <c r="AT81" s="165"/>
      <c r="AU81" s="165"/>
      <c r="AV81" s="165"/>
      <c r="AW81" s="165"/>
      <c r="AX81" s="165"/>
      <c r="AY81" s="165"/>
      <c r="AZ81" s="165"/>
      <c r="BA81" s="165"/>
      <c r="BB81" s="165"/>
      <c r="BC81" s="167"/>
      <c r="BD81" s="167"/>
      <c r="BE81" s="167"/>
      <c r="BF81" s="167"/>
      <c r="BG81" s="167"/>
      <c r="BH81" s="167"/>
      <c r="BI81" s="167"/>
      <c r="BJ81" s="167"/>
      <c r="BK81" s="167">
        <f t="shared" si="27"/>
        <v>89133393</v>
      </c>
      <c r="BL81" s="167">
        <f t="shared" si="28"/>
        <v>0</v>
      </c>
      <c r="BM81" s="167">
        <f t="shared" si="29"/>
        <v>0</v>
      </c>
      <c r="BN81" s="167">
        <f t="shared" si="30"/>
        <v>0</v>
      </c>
    </row>
    <row r="82" spans="1:66" s="171" customFormat="1" hidden="1" outlineLevel="1" x14ac:dyDescent="0.3">
      <c r="A82" s="164" t="s">
        <v>3190</v>
      </c>
      <c r="B82" s="183" t="s">
        <v>3752</v>
      </c>
      <c r="C82" s="183" t="s">
        <v>63</v>
      </c>
      <c r="D82" s="183" t="s">
        <v>3794</v>
      </c>
      <c r="E82" s="183" t="str">
        <f>VLOOKUP(A82,'Bevétel 2a SZH 2023'!B:C,2,0)</f>
        <v>2023 évi többlet támogatás allokációja (előirányzat csökkentéshez hozzájárulás arányában)</v>
      </c>
      <c r="F82" s="183" t="s">
        <v>2696</v>
      </c>
      <c r="G82" s="183">
        <v>322</v>
      </c>
      <c r="H82" s="169" t="s">
        <v>659</v>
      </c>
      <c r="I82" s="165">
        <f>IFERROR(VLOOKUP($A82,'Bevétel 2a SZH 2023'!$B:$L,MATCH($I$1,'Bevétel 2a SZH 2023'!$B$1:$L$1,0),0), )</f>
        <v>12664787.593646189</v>
      </c>
      <c r="J82" s="165">
        <f t="shared" si="33"/>
        <v>12664787.593646189</v>
      </c>
      <c r="K82" s="150">
        <f t="shared" si="34"/>
        <v>0</v>
      </c>
      <c r="L82" s="150">
        <f t="shared" si="26"/>
        <v>12664787.593646189</v>
      </c>
      <c r="M82" s="175">
        <v>7</v>
      </c>
      <c r="N82" s="150">
        <f>IFERROR(VLOOKUP($M82,'1 b felosztások'!$A:$AE,'1 b felosztások'!C$2,0)*$I82,0)</f>
        <v>3307927.5324568897</v>
      </c>
      <c r="O82" s="150">
        <f>IFERROR(VLOOKUP($M82,'1 b felosztások'!$A:$AE,'1 b felosztások'!D$2,0)*$I82,0)</f>
        <v>531588.60037008685</v>
      </c>
      <c r="P82" s="150">
        <f>IFERROR(VLOOKUP($M82,'1 b felosztások'!$A:$AE,'1 b felosztások'!E$2,0)*$I82,0)</f>
        <v>91016.220683227744</v>
      </c>
      <c r="Q82" s="150">
        <f>IFERROR(VLOOKUP($M82,'1 b felosztások'!$A:$AE,'1 b felosztások'!F$2,0)*$I82,0)</f>
        <v>797133.51921060961</v>
      </c>
      <c r="R82" s="150">
        <f>IFERROR(VLOOKUP($M82,'1 b felosztások'!$A:$AE,'1 b felosztások'!G$2,0)*$I82,0)</f>
        <v>220982.77356424171</v>
      </c>
      <c r="S82" s="150">
        <f>IFERROR(VLOOKUP($M82,'1 b felosztások'!$A:$AE,'1 b felosztások'!H$2,0)*$I82,0)</f>
        <v>1119223.9353088038</v>
      </c>
      <c r="T82" s="150">
        <f>IFERROR(VLOOKUP($M82,'1 b felosztások'!$A:$AE,'1 b felosztások'!I$2,0)*$I82,0)</f>
        <v>606881.29213365261</v>
      </c>
      <c r="U82" s="150">
        <f>IFERROR(VLOOKUP($M82,'1 b felosztások'!$A:$AE,'1 b felosztások'!J$2,0)*$I82,0)</f>
        <v>1088692.4842656504</v>
      </c>
      <c r="V82" s="150">
        <f>IFERROR(VLOOKUP($M82,'1 b felosztások'!$A:$AE,'1 b felosztások'!K$2,0)*$I82,0)</f>
        <v>1300493.2126733996</v>
      </c>
      <c r="W82" s="150">
        <f>IFERROR(VLOOKUP($M82,'1 b felosztások'!$A:$AE,'1 b felosztások'!L$2,0)*$I82,0)</f>
        <v>811702.08378514578</v>
      </c>
      <c r="X82" s="150">
        <f>IFERROR(VLOOKUP($M82,'1 b felosztások'!$A:$AE,'1 b felosztások'!M$2,0)*$I82,0)</f>
        <v>88721.149226690453</v>
      </c>
      <c r="Y82" s="150">
        <f>IFERROR(VLOOKUP($M82,'1 b felosztások'!$A:$AE,'1 b felosztások'!N$2,0)*$I82,0)</f>
        <v>2312999.9710573871</v>
      </c>
      <c r="Z82" s="150">
        <f>IFERROR(VLOOKUP($M82,'1 b felosztások'!$A:$AE,'1 b felosztások'!O$2,0)*$I82,0)</f>
        <v>387424.81891040324</v>
      </c>
      <c r="AA82" s="150">
        <f>IFERROR(VLOOKUP($M82,'1 b felosztások'!$A:$AE,'1 b felosztások'!P$2,0)*$I82,0)</f>
        <v>0</v>
      </c>
      <c r="AB82" s="150">
        <f>IFERROR(VLOOKUP($M82,'1 b felosztások'!$A:$AE,'1 b felosztások'!Q$2,0)*$I82,0)</f>
        <v>0</v>
      </c>
      <c r="AC82" s="150">
        <f>IFERROR(VLOOKUP($M82,'1 b felosztások'!$A:$AE,'1 b felosztások'!R$2,0)*$I82,0)</f>
        <v>0</v>
      </c>
      <c r="AD82" s="150">
        <f>IFERROR(VLOOKUP($M82,'1 b felosztások'!$A:$AE,'1 b felosztások'!S$2,0)*$I82,0)</f>
        <v>0</v>
      </c>
      <c r="AE82" s="150">
        <f>IFERROR(VLOOKUP($M82,'1 b felosztások'!$A:$AE,'1 b felosztások'!T$2,0)*$I82,0)</f>
        <v>0</v>
      </c>
      <c r="AF82" s="165">
        <f>IFERROR(VLOOKUP($M82,'1 b felosztások'!$A:$E,'1 b felosztások'!J$2,0)*$I82,0)</f>
        <v>0</v>
      </c>
      <c r="AG82" s="165">
        <f>IFERROR(VLOOKUP($M82,'1 b felosztások'!$A:$E,'1 b felosztások'!G$2,0)*$I82,0)</f>
        <v>0</v>
      </c>
      <c r="AH82" s="165">
        <f>IFERROR(VLOOKUP($M82,'1 b felosztások'!$A:$E,'1 b felosztások'!H$2,0)*$I82,0)</f>
        <v>0</v>
      </c>
      <c r="AI82" s="165"/>
      <c r="AJ82" s="165"/>
      <c r="AK82" s="165"/>
      <c r="AL82" s="165"/>
      <c r="AM82" s="165"/>
      <c r="AN82" s="165"/>
      <c r="AO82" s="165"/>
      <c r="AP82" s="165"/>
      <c r="AQ82" s="165"/>
      <c r="AR82" s="165"/>
      <c r="AS82" s="165"/>
      <c r="AT82" s="165"/>
      <c r="AU82" s="165"/>
      <c r="AV82" s="165"/>
      <c r="AW82" s="165"/>
      <c r="AX82" s="165"/>
      <c r="AY82" s="165"/>
      <c r="AZ82" s="165"/>
      <c r="BA82" s="165"/>
      <c r="BB82" s="165"/>
      <c r="BC82" s="167"/>
      <c r="BD82" s="167"/>
      <c r="BE82" s="167"/>
      <c r="BF82" s="167"/>
      <c r="BG82" s="167"/>
      <c r="BH82" s="167"/>
      <c r="BI82" s="167"/>
      <c r="BJ82" s="167"/>
      <c r="BK82" s="167">
        <f t="shared" si="27"/>
        <v>12664787.593646189</v>
      </c>
      <c r="BL82" s="167">
        <f t="shared" si="28"/>
        <v>0</v>
      </c>
      <c r="BM82" s="167">
        <f t="shared" si="29"/>
        <v>0</v>
      </c>
      <c r="BN82" s="167">
        <f t="shared" si="30"/>
        <v>0</v>
      </c>
    </row>
    <row r="83" spans="1:66" s="168" customFormat="1" hidden="1" outlineLevel="1" collapsed="1" x14ac:dyDescent="0.3">
      <c r="A83" s="164">
        <v>8</v>
      </c>
      <c r="B83" s="183" t="s">
        <v>24</v>
      </c>
      <c r="C83" s="183" t="s">
        <v>63</v>
      </c>
      <c r="D83" s="183"/>
      <c r="E83" s="183" t="str">
        <f>VLOOKUP(A83,'Bevétel 2a SZH 2023'!B:C,2,0)</f>
        <v>ÁKTH alá tartozó speciális feladatok</v>
      </c>
      <c r="F83" s="183" t="s">
        <v>2696</v>
      </c>
      <c r="G83" s="183"/>
      <c r="H83" s="164" t="s">
        <v>2617</v>
      </c>
      <c r="I83" s="165">
        <f>IFERROR(VLOOKUP($A83,'Bevétel 2a SZH 2023'!$B:$L,MATCH($I$1,'Bevétel 2a SZH 2023'!$B$1:$L$1,0),0), )</f>
        <v>184259786</v>
      </c>
      <c r="J83" s="165">
        <f t="shared" si="25"/>
        <v>184259785.67018494</v>
      </c>
      <c r="K83" s="150">
        <f t="shared" si="16"/>
        <v>0.32981505990028381</v>
      </c>
      <c r="L83" s="150">
        <f t="shared" si="26"/>
        <v>184259785.67018494</v>
      </c>
      <c r="M83" s="166"/>
      <c r="N83" s="165">
        <f>SUM(N84:N90)</f>
        <v>38760474.662271813</v>
      </c>
      <c r="O83" s="165">
        <f t="shared" ref="O83:AA83" si="35">SUM(O84:O90)</f>
        <v>8509121.7203136776</v>
      </c>
      <c r="P83" s="165">
        <f t="shared" si="35"/>
        <v>1831038.8989516241</v>
      </c>
      <c r="Q83" s="165">
        <f t="shared" si="35"/>
        <v>10143165.636539802</v>
      </c>
      <c r="R83" s="165">
        <f t="shared" si="35"/>
        <v>3931524.4729346153</v>
      </c>
      <c r="S83" s="165">
        <f t="shared" si="35"/>
        <v>7469058.9804182351</v>
      </c>
      <c r="T83" s="165">
        <f t="shared" si="35"/>
        <v>4884767.8826404577</v>
      </c>
      <c r="U83" s="165">
        <f t="shared" si="35"/>
        <v>8995923.4722626526</v>
      </c>
      <c r="V83" s="165">
        <f t="shared" si="35"/>
        <v>29403830.467790268</v>
      </c>
      <c r="W83" s="165">
        <f t="shared" si="35"/>
        <v>16921689.97986725</v>
      </c>
      <c r="X83" s="165">
        <f t="shared" si="35"/>
        <v>22713633.747241452</v>
      </c>
      <c r="Y83" s="165">
        <f t="shared" si="35"/>
        <v>19252260.989492539</v>
      </c>
      <c r="Z83" s="165">
        <f t="shared" si="35"/>
        <v>10285011.459460534</v>
      </c>
      <c r="AA83" s="165">
        <f t="shared" si="35"/>
        <v>1158283.3</v>
      </c>
      <c r="AB83" s="165">
        <f t="shared" ref="AB83:AO83" si="36">SUM(AB84:AB85)</f>
        <v>0</v>
      </c>
      <c r="AC83" s="165">
        <f t="shared" si="36"/>
        <v>0</v>
      </c>
      <c r="AD83" s="165">
        <f t="shared" si="36"/>
        <v>0</v>
      </c>
      <c r="AE83" s="165">
        <f t="shared" si="36"/>
        <v>0</v>
      </c>
      <c r="AF83" s="165">
        <f t="shared" ref="AF83" si="37">SUM(AF84:AF85)</f>
        <v>0</v>
      </c>
      <c r="AG83" s="165">
        <f t="shared" ref="AG83" si="38">SUM(AG84:AG85)</f>
        <v>0</v>
      </c>
      <c r="AH83" s="165">
        <f t="shared" si="36"/>
        <v>0</v>
      </c>
      <c r="AI83" s="165">
        <f t="shared" si="36"/>
        <v>0</v>
      </c>
      <c r="AJ83" s="165">
        <f t="shared" si="36"/>
        <v>0</v>
      </c>
      <c r="AK83" s="165">
        <f t="shared" si="36"/>
        <v>0</v>
      </c>
      <c r="AL83" s="165">
        <f t="shared" si="36"/>
        <v>0</v>
      </c>
      <c r="AM83" s="165">
        <f t="shared" ref="AM83:AN83" si="39">SUM(AM84:AM85)</f>
        <v>0</v>
      </c>
      <c r="AN83" s="165">
        <f t="shared" si="39"/>
        <v>0</v>
      </c>
      <c r="AO83" s="165">
        <f t="shared" si="36"/>
        <v>0</v>
      </c>
      <c r="AP83" s="165"/>
      <c r="AQ83" s="165"/>
      <c r="AR83" s="165"/>
      <c r="AS83" s="165"/>
      <c r="AT83" s="165"/>
      <c r="AU83" s="165"/>
      <c r="AV83" s="165"/>
      <c r="AW83" s="165"/>
      <c r="AX83" s="165"/>
      <c r="AY83" s="165"/>
      <c r="AZ83" s="165"/>
      <c r="BA83" s="165"/>
      <c r="BB83" s="165"/>
      <c r="BC83" s="167"/>
      <c r="BD83" s="167"/>
      <c r="BE83" s="167"/>
      <c r="BF83" s="167"/>
      <c r="BG83" s="167"/>
      <c r="BH83" s="167"/>
      <c r="BI83" s="167"/>
      <c r="BJ83" s="167"/>
      <c r="BK83" s="167">
        <f t="shared" si="27"/>
        <v>184259785.67018494</v>
      </c>
      <c r="BL83" s="167">
        <f t="shared" si="28"/>
        <v>0</v>
      </c>
      <c r="BM83" s="167">
        <f t="shared" si="29"/>
        <v>0</v>
      </c>
      <c r="BN83" s="167">
        <f t="shared" si="30"/>
        <v>0</v>
      </c>
    </row>
    <row r="84" spans="1:66" s="168" customFormat="1" hidden="1" outlineLevel="2" x14ac:dyDescent="0.3">
      <c r="A84" s="169"/>
      <c r="B84" s="534" t="s">
        <v>773</v>
      </c>
      <c r="C84" s="534" t="s">
        <v>63</v>
      </c>
      <c r="D84" s="534" t="s">
        <v>3570</v>
      </c>
      <c r="E84" s="534" t="s">
        <v>773</v>
      </c>
      <c r="F84" s="164" t="s">
        <v>63</v>
      </c>
      <c r="G84" s="169">
        <v>322</v>
      </c>
      <c r="H84" s="169" t="s">
        <v>659</v>
      </c>
      <c r="I84" s="150">
        <f>IFERROR(VLOOKUP(E84,'10.'!$A:$AO,MATCH($I$1,'10.'!$A$5:$AO$5,0),0),)</f>
        <v>0</v>
      </c>
      <c r="J84" s="165">
        <f t="shared" si="25"/>
        <v>0</v>
      </c>
      <c r="K84" s="150">
        <f t="shared" si="16"/>
        <v>0</v>
      </c>
      <c r="L84" s="150">
        <f t="shared" si="26"/>
        <v>0</v>
      </c>
      <c r="M84" s="173" t="s">
        <v>2594</v>
      </c>
      <c r="N84" s="150">
        <f>IFERROR(+VLOOKUP(N2,'14.c'!$A:$D,4,0),0)</f>
        <v>0</v>
      </c>
      <c r="O84" s="150">
        <f>IFERROR(+VLOOKUP(O2,'14.c'!$A:$D,4,0),0)</f>
        <v>0</v>
      </c>
      <c r="P84" s="150">
        <f>IFERROR(+VLOOKUP(P2,'14.c'!$A:$D,4,0),0)</f>
        <v>0</v>
      </c>
      <c r="Q84" s="150">
        <f>IFERROR(+VLOOKUP(Q2,'14.c'!$A:$D,4,0),0)</f>
        <v>0</v>
      </c>
      <c r="R84" s="150">
        <f>IFERROR(+VLOOKUP(R2,'14.c'!$A:$D,4,0),0)</f>
        <v>0</v>
      </c>
      <c r="S84" s="150">
        <f>IFERROR(+VLOOKUP(S2,'14.c'!$A:$D,4,0),0)</f>
        <v>0</v>
      </c>
      <c r="T84" s="150">
        <f>IFERROR(+VLOOKUP(T2,'14.c'!$A:$D,4,0),0)</f>
        <v>0</v>
      </c>
      <c r="U84" s="150">
        <f>IFERROR(+VLOOKUP(U2,'14.c'!$A:$D,4,0),0)</f>
        <v>0</v>
      </c>
      <c r="V84" s="150">
        <f>IFERROR(+VLOOKUP(V2,'14.c'!$A:$D,4,0),0)</f>
        <v>0</v>
      </c>
      <c r="W84" s="150">
        <f>IFERROR(+VLOOKUP(W2,'14.c'!$A:$D,4,0),0)</f>
        <v>0</v>
      </c>
      <c r="X84" s="150">
        <f>IFERROR(+VLOOKUP(X2,'14.c'!$A:$D,4,0),0)</f>
        <v>0</v>
      </c>
      <c r="Y84" s="150">
        <f>IFERROR(+VLOOKUP(Y2,'14.c'!$A:$D,4,0),0)</f>
        <v>0</v>
      </c>
      <c r="Z84" s="150">
        <f>IFERROR(+VLOOKUP(Z2,'14.c'!$A:$D,4,0),0)</f>
        <v>0</v>
      </c>
      <c r="AA84" s="150">
        <f>IFERROR(+VLOOKUP(AA2,'14.c'!$A:$D,4,0),0)</f>
        <v>0</v>
      </c>
      <c r="AB84" s="150">
        <f>IFERROR(+VLOOKUP(AB2,'14.c'!$A:$D,4,0),0)</f>
        <v>0</v>
      </c>
      <c r="AC84" s="150">
        <f>IFERROR(+VLOOKUP(AC2,'14.c'!$A:$D,4,0),0)</f>
        <v>0</v>
      </c>
      <c r="AD84" s="150">
        <f>IFERROR(+VLOOKUP(AD2,'14.c'!$A:$D,4,0),0)</f>
        <v>0</v>
      </c>
      <c r="AE84" s="150">
        <f>IFERROR(+VLOOKUP(AE2,'14.c'!$A:$D,4,0),0)</f>
        <v>0</v>
      </c>
      <c r="AF84" s="150">
        <f>IFERROR(+VLOOKUP(AF2,'14.c'!$A:$D,4,0),0)</f>
        <v>0</v>
      </c>
      <c r="AG84" s="150">
        <f>IFERROR(+VLOOKUP(AG2,'14.c'!$A:$D,4,0),0)</f>
        <v>0</v>
      </c>
      <c r="AH84" s="150">
        <f>IFERROR(+VLOOKUP(AH2,'14.c'!$A:$D,4,0),0)</f>
        <v>0</v>
      </c>
      <c r="AI84" s="150">
        <f>IFERROR(+VLOOKUP(AI2,'14.c'!$A:$D,4,0),0)</f>
        <v>0</v>
      </c>
      <c r="AJ84" s="150">
        <f>IFERROR(+VLOOKUP(AJ2,'14.c'!$A:$D,4,0),0)</f>
        <v>0</v>
      </c>
      <c r="AK84" s="150">
        <f>IFERROR(+VLOOKUP(AK2,'14.c'!$A:$D,4,0),0)</f>
        <v>0</v>
      </c>
      <c r="AL84" s="150">
        <f>IFERROR(+VLOOKUP(AL2,'14.c'!$A:$D,4,0),0)</f>
        <v>0</v>
      </c>
      <c r="AM84" s="150">
        <f>IFERROR(+VLOOKUP(AM2,'14.c'!$A:$D,4,0),0)</f>
        <v>0</v>
      </c>
      <c r="AN84" s="150">
        <f>IFERROR(+VLOOKUP(AN2,'14.c'!$A:$D,4,0),0)</f>
        <v>0</v>
      </c>
      <c r="AO84" s="150">
        <f>IFERROR(+VLOOKUP(AO2,'14.c'!$A:$D,4,0),0)</f>
        <v>0</v>
      </c>
      <c r="AP84" s="165"/>
      <c r="AQ84" s="165"/>
      <c r="AR84" s="165"/>
      <c r="AS84" s="165"/>
      <c r="AT84" s="165"/>
      <c r="AU84" s="165"/>
      <c r="AV84" s="165"/>
      <c r="AW84" s="165"/>
      <c r="AX84" s="165"/>
      <c r="AY84" s="165"/>
      <c r="AZ84" s="165"/>
      <c r="BA84" s="165"/>
      <c r="BB84" s="165"/>
      <c r="BC84" s="167"/>
      <c r="BD84" s="167"/>
      <c r="BE84" s="167"/>
      <c r="BF84" s="167"/>
      <c r="BG84" s="167"/>
      <c r="BH84" s="167"/>
      <c r="BI84" s="167"/>
      <c r="BJ84" s="167"/>
      <c r="BK84" s="167">
        <f t="shared" si="27"/>
        <v>0</v>
      </c>
      <c r="BL84" s="167">
        <f t="shared" si="28"/>
        <v>0</v>
      </c>
      <c r="BM84" s="167">
        <f t="shared" si="29"/>
        <v>0</v>
      </c>
      <c r="BN84" s="167">
        <f t="shared" si="30"/>
        <v>0</v>
      </c>
    </row>
    <row r="85" spans="1:66" s="168" customFormat="1" hidden="1" outlineLevel="2" x14ac:dyDescent="0.3">
      <c r="A85" s="169"/>
      <c r="B85" s="534" t="s">
        <v>808</v>
      </c>
      <c r="C85" s="534" t="s">
        <v>63</v>
      </c>
      <c r="D85" s="534" t="s">
        <v>3740</v>
      </c>
      <c r="E85" s="534" t="s">
        <v>3945</v>
      </c>
      <c r="F85" s="164" t="s">
        <v>63</v>
      </c>
      <c r="G85" s="169">
        <v>322</v>
      </c>
      <c r="H85" s="169" t="s">
        <v>659</v>
      </c>
      <c r="I85" s="150">
        <f>'10.'!N10</f>
        <v>119305000</v>
      </c>
      <c r="J85" s="165">
        <f t="shared" si="25"/>
        <v>119305000</v>
      </c>
      <c r="K85" s="150">
        <f t="shared" si="16"/>
        <v>0</v>
      </c>
      <c r="L85" s="150">
        <f t="shared" si="26"/>
        <v>119305000</v>
      </c>
      <c r="M85" s="175">
        <v>9</v>
      </c>
      <c r="N85" s="150">
        <f>IFERROR(VLOOKUP($M85,'1 b felosztások'!$A:$O,'1 b felosztások'!C$2,0)*$I85,0)</f>
        <v>30929151.791440126</v>
      </c>
      <c r="O85" s="150">
        <f>IFERROR(VLOOKUP($M85,'1 b felosztások'!$A:$O,'1 b felosztások'!D$2,0)*$I85,0)</f>
        <v>7466666.7503136778</v>
      </c>
      <c r="P85" s="150">
        <f>IFERROR(VLOOKUP($M85,'1 b felosztások'!$A:$O,'1 b felosztások'!E$2,0)*$I85,0)</f>
        <v>1599382.2389516241</v>
      </c>
      <c r="Q85" s="150">
        <f>IFERROR(VLOOKUP($M85,'1 b felosztások'!$A:$O,'1 b felosztások'!F$2,0)*$I85,0)</f>
        <v>8984882.3365398012</v>
      </c>
      <c r="R85" s="150">
        <f>IFERROR(VLOOKUP($M85,'1 b felosztások'!$A:$O,'1 b felosztások'!G$2,0)*$I85,0)</f>
        <v>3468211.1529346155</v>
      </c>
      <c r="S85" s="150">
        <f>IFERROR(VLOOKUP($M85,'1 b felosztások'!$A:$O,'1 b felosztások'!H$2,0)*$I85,0)</f>
        <v>6774089.0004182346</v>
      </c>
      <c r="T85" s="150">
        <f>IFERROR(VLOOKUP($M85,'1 b felosztások'!$A:$O,'1 b felosztások'!I$2,0)*$I85,0)</f>
        <v>4653111.2226404576</v>
      </c>
      <c r="U85" s="150">
        <f>IFERROR(VLOOKUP($M85,'1 b felosztások'!$A:$O,'1 b felosztások'!J$2,0)*$I85,0)</f>
        <v>8300953.4922626531</v>
      </c>
      <c r="V85" s="150">
        <f>IFERROR(VLOOKUP($M85,'1 b felosztások'!$A:$O,'1 b felosztások'!K$2,0)*$I85,0)</f>
        <v>12415171.364840373</v>
      </c>
      <c r="W85" s="150">
        <f>IFERROR(VLOOKUP($M85,'1 b felosztások'!$A:$O,'1 b felosztások'!L$2,0)*$I85,0)</f>
        <v>8634269.0087829381</v>
      </c>
      <c r="X85" s="150">
        <f>IFERROR(VLOOKUP($M85,'1 b felosztások'!$A:$O,'1 b felosztások'!M$2,0)*$I85,0)</f>
        <v>3369746.6889725355</v>
      </c>
      <c r="Y85" s="150">
        <f>IFERROR(VLOOKUP($M85,'1 b felosztások'!$A:$O,'1 b felosztások'!N$2,0)*$I85,0)</f>
        <v>18441462.679492541</v>
      </c>
      <c r="Z85" s="150">
        <f>IFERROR(VLOOKUP($M85,'1 b felosztások'!$A:$O,'1 b felosztások'!O$2,0)*$I85,0)</f>
        <v>4267902.2724104282</v>
      </c>
      <c r="AA85" s="150">
        <f>IFERROR(VLOOKUP($M85,'1 b felosztások'!$A:$O,'1 b felosztások'!P$2,0)*$I85,0)</f>
        <v>0</v>
      </c>
      <c r="AB85" s="150">
        <f>IFERROR(VLOOKUP($M85,'1 b felosztások'!$A:$O,'1 b felosztások'!Q$2,0)*$I85,0)</f>
        <v>0</v>
      </c>
      <c r="AC85" s="150"/>
      <c r="AD85" s="150"/>
      <c r="AE85" s="150"/>
      <c r="AF85" s="150"/>
      <c r="AG85" s="150"/>
      <c r="AH85" s="150"/>
      <c r="AI85" s="150"/>
      <c r="AJ85" s="150"/>
      <c r="AK85" s="150"/>
      <c r="AL85" s="165"/>
      <c r="AM85" s="165"/>
      <c r="AN85" s="165"/>
      <c r="AO85" s="165"/>
      <c r="AP85" s="165"/>
      <c r="AQ85" s="165"/>
      <c r="AR85" s="165"/>
      <c r="AS85" s="165"/>
      <c r="AT85" s="165"/>
      <c r="AU85" s="165"/>
      <c r="AV85" s="165"/>
      <c r="AW85" s="165"/>
      <c r="AX85" s="165"/>
      <c r="AY85" s="165"/>
      <c r="AZ85" s="165"/>
      <c r="BA85" s="165"/>
      <c r="BB85" s="165"/>
      <c r="BC85" s="167"/>
      <c r="BD85" s="167"/>
      <c r="BE85" s="167"/>
      <c r="BF85" s="167"/>
      <c r="BG85" s="167"/>
      <c r="BH85" s="167"/>
      <c r="BI85" s="167"/>
      <c r="BJ85" s="167"/>
      <c r="BK85" s="167">
        <f t="shared" si="27"/>
        <v>119305000</v>
      </c>
      <c r="BL85" s="167">
        <f t="shared" si="28"/>
        <v>0</v>
      </c>
      <c r="BM85" s="167">
        <f t="shared" si="29"/>
        <v>0</v>
      </c>
      <c r="BN85" s="167">
        <f t="shared" si="30"/>
        <v>0</v>
      </c>
    </row>
    <row r="86" spans="1:66" s="168" customFormat="1" hidden="1" outlineLevel="2" x14ac:dyDescent="0.3">
      <c r="A86" s="169"/>
      <c r="B86" s="534" t="s">
        <v>809</v>
      </c>
      <c r="C86" s="534" t="s">
        <v>63</v>
      </c>
      <c r="D86" s="534" t="s">
        <v>3741</v>
      </c>
      <c r="E86" s="534" t="s">
        <v>809</v>
      </c>
      <c r="F86" s="164" t="s">
        <v>63</v>
      </c>
      <c r="G86" s="169">
        <v>322</v>
      </c>
      <c r="H86" s="169" t="s">
        <v>659</v>
      </c>
      <c r="I86" s="150">
        <f>'10.'!N11</f>
        <v>8344435.7976653697</v>
      </c>
      <c r="J86" s="165">
        <f t="shared" ref="J86:J90" si="40">SUM(N86:AO86)</f>
        <v>8344435.7976653697</v>
      </c>
      <c r="K86" s="150">
        <f t="shared" ref="K86:K90" si="41">+I86-J86</f>
        <v>0</v>
      </c>
      <c r="L86" s="150">
        <f t="shared" si="26"/>
        <v>8344435.7976653697</v>
      </c>
      <c r="M86" s="175">
        <v>5</v>
      </c>
      <c r="N86" s="150">
        <f>IFERROR(VLOOKUP($M86,'1 b felosztások'!$A:$O,'1 b felosztások'!C$2,0)*$I86,0)</f>
        <v>0</v>
      </c>
      <c r="O86" s="150">
        <f>IFERROR(VLOOKUP($M86,'1 b felosztások'!$A:$O,'1 b felosztások'!D$2,0)*$I86,0)</f>
        <v>0</v>
      </c>
      <c r="P86" s="150">
        <f>IFERROR(VLOOKUP($M86,'1 b felosztások'!$A:$O,'1 b felosztások'!E$2,0)*$I86,0)</f>
        <v>0</v>
      </c>
      <c r="Q86" s="150">
        <f>IFERROR(VLOOKUP($M86,'1 b felosztások'!$A:$O,'1 b felosztások'!F$2,0)*$I86,0)</f>
        <v>0</v>
      </c>
      <c r="R86" s="150">
        <f>IFERROR(VLOOKUP($M86,'1 b felosztások'!$A:$O,'1 b felosztások'!G$2,0)*$I86,0)</f>
        <v>0</v>
      </c>
      <c r="S86" s="150">
        <f>IFERROR(VLOOKUP($M86,'1 b felosztások'!$A:$O,'1 b felosztások'!H$2,0)*$I86,0)</f>
        <v>0</v>
      </c>
      <c r="T86" s="150">
        <f>IFERROR(VLOOKUP($M86,'1 b felosztások'!$A:$O,'1 b felosztások'!I$2,0)*$I86,0)</f>
        <v>0</v>
      </c>
      <c r="U86" s="150">
        <f>IFERROR(VLOOKUP($M86,'1 b felosztások'!$A:$O,'1 b felosztások'!J$2,0)*$I86,0)</f>
        <v>0</v>
      </c>
      <c r="V86" s="150">
        <f>IFERROR(VLOOKUP($M86,'1 b felosztások'!$A:$O,'1 b felosztások'!K$2,0)*$I86,0)</f>
        <v>0</v>
      </c>
      <c r="W86" s="150">
        <f>IFERROR(VLOOKUP($M86,'1 b felosztások'!$A:$O,'1 b felosztások'!L$2,0)*$I86,0)</f>
        <v>0</v>
      </c>
      <c r="X86" s="150">
        <f>IFERROR(VLOOKUP($M86,'1 b felosztások'!$A:$O,'1 b felosztások'!M$2,0)*$I86,0)</f>
        <v>8344435.7976653697</v>
      </c>
      <c r="Y86" s="150">
        <f>IFERROR(VLOOKUP($M86,'1 b felosztások'!$A:$O,'1 b felosztások'!N$2,0)*$I86,0)</f>
        <v>0</v>
      </c>
      <c r="Z86" s="150">
        <f>IFERROR(VLOOKUP($M86,'1 b felosztások'!$A:$O,'1 b felosztások'!O$2,0)*$I86,0)</f>
        <v>0</v>
      </c>
      <c r="AA86" s="150">
        <f>IFERROR(VLOOKUP($M86,'1 b felosztások'!$A:$O,'1 b felosztások'!P$2,0)*$I86,0)</f>
        <v>0</v>
      </c>
      <c r="AB86" s="150">
        <f>IFERROR(VLOOKUP($M86,'1 b felosztások'!$A:$O,'1 b felosztások'!Q$2,0)*$I86,0)</f>
        <v>0</v>
      </c>
      <c r="AC86" s="150"/>
      <c r="AD86" s="150"/>
      <c r="AE86" s="150"/>
      <c r="AF86" s="150"/>
      <c r="AG86" s="150"/>
      <c r="AH86" s="150"/>
      <c r="AI86" s="150"/>
      <c r="AJ86" s="150"/>
      <c r="AK86" s="150"/>
      <c r="AL86" s="165"/>
      <c r="AM86" s="165"/>
      <c r="AN86" s="165"/>
      <c r="AO86" s="165"/>
      <c r="AP86" s="165"/>
      <c r="AQ86" s="165"/>
      <c r="AR86" s="165"/>
      <c r="AS86" s="165"/>
      <c r="AT86" s="165"/>
      <c r="AU86" s="165"/>
      <c r="AV86" s="165"/>
      <c r="AW86" s="165"/>
      <c r="AX86" s="165"/>
      <c r="AY86" s="165"/>
      <c r="AZ86" s="165"/>
      <c r="BA86" s="165"/>
      <c r="BB86" s="165"/>
      <c r="BC86" s="167"/>
      <c r="BD86" s="167"/>
      <c r="BE86" s="167"/>
      <c r="BF86" s="167"/>
      <c r="BG86" s="167"/>
      <c r="BH86" s="167"/>
      <c r="BI86" s="167"/>
      <c r="BJ86" s="167"/>
      <c r="BK86" s="167">
        <f t="shared" si="27"/>
        <v>8344435.7976653697</v>
      </c>
      <c r="BL86" s="167">
        <f t="shared" si="28"/>
        <v>0</v>
      </c>
      <c r="BM86" s="167">
        <f t="shared" si="29"/>
        <v>0</v>
      </c>
      <c r="BN86" s="167">
        <f t="shared" si="30"/>
        <v>0</v>
      </c>
    </row>
    <row r="87" spans="1:66" s="168" customFormat="1" hidden="1" outlineLevel="2" x14ac:dyDescent="0.3">
      <c r="A87" s="169"/>
      <c r="B87" s="534" t="s">
        <v>810</v>
      </c>
      <c r="C87" s="534" t="s">
        <v>63</v>
      </c>
      <c r="D87" s="534" t="s">
        <v>3742</v>
      </c>
      <c r="E87" s="534" t="s">
        <v>810</v>
      </c>
      <c r="F87" s="164" t="s">
        <v>63</v>
      </c>
      <c r="G87" s="169">
        <v>322</v>
      </c>
      <c r="H87" s="169" t="s">
        <v>659</v>
      </c>
      <c r="I87" s="150">
        <f>'10.'!N12</f>
        <v>3410456.8725195429</v>
      </c>
      <c r="J87" s="165">
        <f t="shared" si="40"/>
        <v>3410456.8725195429</v>
      </c>
      <c r="K87" s="150">
        <f t="shared" si="41"/>
        <v>0</v>
      </c>
      <c r="L87" s="150">
        <f t="shared" si="26"/>
        <v>3410456.8725195429</v>
      </c>
      <c r="M87" s="175">
        <v>5</v>
      </c>
      <c r="N87" s="150">
        <f>IFERROR(VLOOKUP($M87,'1 b felosztások'!$A:$O,'1 b felosztások'!C$2,0)*$I87,0)</f>
        <v>0</v>
      </c>
      <c r="O87" s="150">
        <f>IFERROR(VLOOKUP($M87,'1 b felosztások'!$A:$O,'1 b felosztások'!D$2,0)*$I87,0)</f>
        <v>0</v>
      </c>
      <c r="P87" s="150">
        <f>IFERROR(VLOOKUP($M87,'1 b felosztások'!$A:$O,'1 b felosztások'!E$2,0)*$I87,0)</f>
        <v>0</v>
      </c>
      <c r="Q87" s="150">
        <f>IFERROR(VLOOKUP($M87,'1 b felosztások'!$A:$O,'1 b felosztások'!F$2,0)*$I87,0)</f>
        <v>0</v>
      </c>
      <c r="R87" s="150">
        <f>IFERROR(VLOOKUP($M87,'1 b felosztások'!$A:$O,'1 b felosztások'!G$2,0)*$I87,0)</f>
        <v>0</v>
      </c>
      <c r="S87" s="150">
        <f>IFERROR(VLOOKUP($M87,'1 b felosztások'!$A:$O,'1 b felosztások'!H$2,0)*$I87,0)</f>
        <v>0</v>
      </c>
      <c r="T87" s="150">
        <f>IFERROR(VLOOKUP($M87,'1 b felosztások'!$A:$O,'1 b felosztások'!I$2,0)*$I87,0)</f>
        <v>0</v>
      </c>
      <c r="U87" s="150">
        <f>IFERROR(VLOOKUP($M87,'1 b felosztások'!$A:$O,'1 b felosztások'!J$2,0)*$I87,0)</f>
        <v>0</v>
      </c>
      <c r="V87" s="150">
        <f>IFERROR(VLOOKUP($M87,'1 b felosztások'!$A:$O,'1 b felosztások'!K$2,0)*$I87,0)</f>
        <v>0</v>
      </c>
      <c r="W87" s="150">
        <f>IFERROR(VLOOKUP($M87,'1 b felosztások'!$A:$O,'1 b felosztások'!L$2,0)*$I87,0)</f>
        <v>0</v>
      </c>
      <c r="X87" s="150">
        <f>IFERROR(VLOOKUP($M87,'1 b felosztások'!$A:$O,'1 b felosztások'!M$2,0)*$I87,0)</f>
        <v>3410456.8725195429</v>
      </c>
      <c r="Y87" s="150">
        <f>IFERROR(VLOOKUP($M87,'1 b felosztások'!$A:$O,'1 b felosztások'!N$2,0)*$I87,0)</f>
        <v>0</v>
      </c>
      <c r="Z87" s="150">
        <f>IFERROR(VLOOKUP($M87,'1 b felosztások'!$A:$O,'1 b felosztások'!O$2,0)*$I87,0)</f>
        <v>0</v>
      </c>
      <c r="AA87" s="150">
        <f>IFERROR(VLOOKUP($M87,'1 b felosztások'!$A:$O,'1 b felosztások'!P$2,0)*$I87,0)</f>
        <v>0</v>
      </c>
      <c r="AB87" s="150">
        <f>IFERROR(VLOOKUP($M87,'1 b felosztások'!$A:$O,'1 b felosztások'!Q$2,0)*$I87,0)</f>
        <v>0</v>
      </c>
      <c r="AC87" s="150"/>
      <c r="AD87" s="150"/>
      <c r="AE87" s="150"/>
      <c r="AF87" s="150"/>
      <c r="AG87" s="150"/>
      <c r="AH87" s="150"/>
      <c r="AI87" s="150"/>
      <c r="AJ87" s="150"/>
      <c r="AK87" s="150"/>
      <c r="AL87" s="165"/>
      <c r="AM87" s="165"/>
      <c r="AN87" s="165"/>
      <c r="AO87" s="165"/>
      <c r="AP87" s="165"/>
      <c r="AQ87" s="165"/>
      <c r="AR87" s="165"/>
      <c r="AS87" s="165"/>
      <c r="AT87" s="165"/>
      <c r="AU87" s="165"/>
      <c r="AV87" s="165"/>
      <c r="AW87" s="165"/>
      <c r="AX87" s="165"/>
      <c r="AY87" s="165"/>
      <c r="AZ87" s="165"/>
      <c r="BA87" s="165"/>
      <c r="BB87" s="165"/>
      <c r="BC87" s="167"/>
      <c r="BD87" s="167"/>
      <c r="BE87" s="167"/>
      <c r="BF87" s="167"/>
      <c r="BG87" s="167"/>
      <c r="BH87" s="167"/>
      <c r="BI87" s="167"/>
      <c r="BJ87" s="167"/>
      <c r="BK87" s="167">
        <f t="shared" si="27"/>
        <v>3410456.8725195429</v>
      </c>
      <c r="BL87" s="167">
        <f t="shared" si="28"/>
        <v>0</v>
      </c>
      <c r="BM87" s="167">
        <f t="shared" si="29"/>
        <v>0</v>
      </c>
      <c r="BN87" s="167">
        <f t="shared" si="30"/>
        <v>0</v>
      </c>
    </row>
    <row r="88" spans="1:66" s="168" customFormat="1" hidden="1" outlineLevel="2" x14ac:dyDescent="0.3">
      <c r="A88" s="169"/>
      <c r="B88" s="169" t="s">
        <v>772</v>
      </c>
      <c r="C88" s="534" t="s">
        <v>63</v>
      </c>
      <c r="D88" s="534" t="s">
        <v>3743</v>
      </c>
      <c r="E88" s="534" t="s">
        <v>772</v>
      </c>
      <c r="F88" s="164" t="s">
        <v>63</v>
      </c>
      <c r="G88" s="169">
        <v>322</v>
      </c>
      <c r="H88" s="169" t="s">
        <v>659</v>
      </c>
      <c r="I88" s="150">
        <f>'10.'!N14</f>
        <v>11582833</v>
      </c>
      <c r="J88" s="165">
        <f>SUM(N88:AO88)</f>
        <v>11582833.000000002</v>
      </c>
      <c r="K88" s="150">
        <f>+I88-J88</f>
        <v>0</v>
      </c>
      <c r="L88" s="150">
        <f t="shared" si="26"/>
        <v>11582833.000000002</v>
      </c>
      <c r="M88" s="175">
        <v>1</v>
      </c>
      <c r="N88" s="150">
        <f>IFERROR(VLOOKUP($M88,'1 b felosztások'!$A:$O,'1 b felosztások'!C$2,0)*$I88,0)</f>
        <v>1969081.61</v>
      </c>
      <c r="O88" s="150">
        <f>IFERROR(VLOOKUP($M88,'1 b felosztások'!$A:$O,'1 b felosztások'!D$2,0)*$I88,0)</f>
        <v>1042454.97</v>
      </c>
      <c r="P88" s="150">
        <f>IFERROR(VLOOKUP($M88,'1 b felosztások'!$A:$O,'1 b felosztások'!E$2,0)*$I88,0)</f>
        <v>231656.66</v>
      </c>
      <c r="Q88" s="150">
        <f>IFERROR(VLOOKUP($M88,'1 b felosztások'!$A:$O,'1 b felosztások'!F$2,0)*$I88,0)</f>
        <v>1158283.3</v>
      </c>
      <c r="R88" s="150">
        <f>IFERROR(VLOOKUP($M88,'1 b felosztások'!$A:$O,'1 b felosztások'!G$2,0)*$I88,0)</f>
        <v>463313.32</v>
      </c>
      <c r="S88" s="150">
        <f>IFERROR(VLOOKUP($M88,'1 b felosztások'!$A:$O,'1 b felosztások'!H$2,0)*$I88,0)</f>
        <v>694969.98</v>
      </c>
      <c r="T88" s="150">
        <f>IFERROR(VLOOKUP($M88,'1 b felosztások'!$A:$O,'1 b felosztások'!I$2,0)*$I88,0)</f>
        <v>231656.66</v>
      </c>
      <c r="U88" s="150">
        <f>IFERROR(VLOOKUP($M88,'1 b felosztások'!$A:$O,'1 b felosztások'!J$2,0)*$I88,0)</f>
        <v>694969.98</v>
      </c>
      <c r="V88" s="150">
        <f>IFERROR(VLOOKUP($M88,'1 b felosztások'!$A:$O,'1 b felosztások'!K$2,0)*$I88,0)</f>
        <v>926626.64</v>
      </c>
      <c r="W88" s="150">
        <f>IFERROR(VLOOKUP($M88,'1 b felosztások'!$A:$O,'1 b felosztások'!L$2,0)*$I88,0)</f>
        <v>1042454.97</v>
      </c>
      <c r="X88" s="150">
        <f>IFERROR(VLOOKUP($M88,'1 b felosztások'!$A:$O,'1 b felosztások'!M$2,0)*$I88,0)</f>
        <v>579141.65</v>
      </c>
      <c r="Y88" s="150">
        <f>IFERROR(VLOOKUP($M88,'1 b felosztások'!$A:$O,'1 b felosztások'!N$2,0)*$I88,0)</f>
        <v>810798.31</v>
      </c>
      <c r="Z88" s="150">
        <f>IFERROR(VLOOKUP($M88,'1 b felosztások'!$A:$O,'1 b felosztások'!O$2,0)*$I88,0)</f>
        <v>579141.65</v>
      </c>
      <c r="AA88" s="150">
        <f>IFERROR(VLOOKUP($M88,'1 b felosztások'!$A:$AE,'1 b felosztások'!P$2,0)*$I88,0)</f>
        <v>1158283.3</v>
      </c>
      <c r="AB88" s="150">
        <f>IFERROR(VLOOKUP($M88,'1 b felosztások'!$A:$AE,'1 b felosztások'!Q$2,0)*$I88,0)</f>
        <v>0</v>
      </c>
      <c r="AC88" s="150">
        <f>IFERROR(VLOOKUP($M88,'1 b felosztások'!$A:$AE,'1 b felosztások'!R$2,0)*$I88,0)</f>
        <v>0</v>
      </c>
      <c r="AD88" s="150">
        <f>IFERROR(VLOOKUP($M88,'1 b felosztások'!$A:$AE,'1 b felosztások'!S$2,0)*$I88,0)</f>
        <v>0</v>
      </c>
      <c r="AE88" s="150">
        <f>IFERROR(VLOOKUP($M88,'1 b felosztások'!$A:$AE,'1 b felosztások'!T$2,0)*$I88,0)</f>
        <v>0</v>
      </c>
      <c r="AF88" s="150">
        <f>IFERROR(VLOOKUP($M88,'1 b felosztások'!$A:$AE,'1 b felosztások'!U$2,0)*$I88,0)</f>
        <v>0</v>
      </c>
      <c r="AG88" s="150">
        <f>IFERROR(VLOOKUP($M88,'1 b felosztások'!$A:$AE,'1 b felosztások'!V$2,0)*$I88,0)</f>
        <v>0</v>
      </c>
      <c r="AH88" s="150">
        <f>IFERROR(VLOOKUP($M88,'1 b felosztások'!$A:$AE,'1 b felosztások'!W$2,0)*$I88,0)</f>
        <v>0</v>
      </c>
      <c r="AI88" s="150">
        <f>IFERROR(VLOOKUP($M88,'1 b felosztások'!$A:$AE,'1 b felosztások'!X$2,0)*$I88,0)</f>
        <v>0</v>
      </c>
      <c r="AJ88" s="150">
        <f>IFERROR(VLOOKUP($M88,'1 b felosztások'!$A:$AE,'1 b felosztások'!Y$2,0)*$I88,0)</f>
        <v>0</v>
      </c>
      <c r="AK88" s="150">
        <f>IFERROR(VLOOKUP($M88,'1 b felosztások'!$A:$AE,'1 b felosztások'!Z$2,0)*$I88,0)</f>
        <v>0</v>
      </c>
      <c r="AL88" s="150">
        <f>IFERROR(VLOOKUP($M88,'1 b felosztások'!$A:$AE,'1 b felosztások'!AA$2,0)*$I88,0)</f>
        <v>0</v>
      </c>
      <c r="AM88" s="150">
        <f>IFERROR(VLOOKUP($M88,'1 b felosztások'!$A:$AE,'1 b felosztások'!AB$2,0)*$I88,0)</f>
        <v>0</v>
      </c>
      <c r="AN88" s="150">
        <f>IFERROR(VLOOKUP($M88,'1 b felosztások'!$A:$AE,'1 b felosztások'!AC$2,0)*$I88,0)</f>
        <v>0</v>
      </c>
      <c r="AO88" s="150">
        <f>IFERROR(VLOOKUP($M88,'1 b felosztások'!$A:$AE,'1 b felosztások'!AD$2,0)*$I88,0)</f>
        <v>0</v>
      </c>
      <c r="AP88" s="165"/>
      <c r="AQ88" s="165"/>
      <c r="AR88" s="165"/>
      <c r="AS88" s="165"/>
      <c r="AT88" s="165"/>
      <c r="AU88" s="165"/>
      <c r="AV88" s="165"/>
      <c r="AW88" s="165"/>
      <c r="AX88" s="165"/>
      <c r="AY88" s="165"/>
      <c r="AZ88" s="165"/>
      <c r="BA88" s="165"/>
      <c r="BB88" s="165"/>
      <c r="BC88" s="167"/>
      <c r="BD88" s="167"/>
      <c r="BE88" s="167"/>
      <c r="BF88" s="167"/>
      <c r="BG88" s="167"/>
      <c r="BH88" s="167"/>
      <c r="BI88" s="167"/>
      <c r="BJ88" s="167"/>
      <c r="BK88" s="167">
        <f t="shared" si="27"/>
        <v>11582833.000000002</v>
      </c>
      <c r="BL88" s="167">
        <f t="shared" si="28"/>
        <v>0</v>
      </c>
      <c r="BM88" s="167">
        <f t="shared" si="29"/>
        <v>0</v>
      </c>
      <c r="BN88" s="167">
        <f t="shared" si="30"/>
        <v>0</v>
      </c>
    </row>
    <row r="89" spans="1:66" s="168" customFormat="1" hidden="1" outlineLevel="2" x14ac:dyDescent="0.3">
      <c r="A89" s="169"/>
      <c r="B89" s="534" t="s">
        <v>3453</v>
      </c>
      <c r="C89" s="534" t="s">
        <v>63</v>
      </c>
      <c r="D89" s="534" t="s">
        <v>3744</v>
      </c>
      <c r="E89" s="534" t="s">
        <v>3453</v>
      </c>
      <c r="F89" s="164" t="s">
        <v>63</v>
      </c>
      <c r="G89" s="169">
        <v>322</v>
      </c>
      <c r="H89" s="169" t="s">
        <v>659</v>
      </c>
      <c r="I89" s="150">
        <f>'10.'!N18</f>
        <v>20117060</v>
      </c>
      <c r="J89" s="165">
        <f t="shared" si="40"/>
        <v>20117059.999999996</v>
      </c>
      <c r="K89" s="150">
        <f t="shared" si="41"/>
        <v>0</v>
      </c>
      <c r="L89" s="150">
        <f t="shared" si="26"/>
        <v>20117059.999999996</v>
      </c>
      <c r="M89" s="175">
        <v>17</v>
      </c>
      <c r="N89" s="150">
        <f>IFERROR(VLOOKUP($M89,'1 b felosztások'!$A:$O,'1 b felosztások'!C$2,0)*$I89,0)</f>
        <v>5862241.2608316839</v>
      </c>
      <c r="O89" s="150">
        <f>IFERROR(VLOOKUP($M89,'1 b felosztások'!$A:$O,'1 b felosztások'!D$2,0)*$I89,0)</f>
        <v>0</v>
      </c>
      <c r="P89" s="150">
        <f>IFERROR(VLOOKUP($M89,'1 b felosztások'!$A:$O,'1 b felosztások'!E$2,0)*$I89,0)</f>
        <v>0</v>
      </c>
      <c r="Q89" s="150">
        <f>IFERROR(VLOOKUP($M89,'1 b felosztások'!$A:$O,'1 b felosztások'!F$2,0)*$I89,0)</f>
        <v>0</v>
      </c>
      <c r="R89" s="150">
        <f>IFERROR(VLOOKUP($M89,'1 b felosztások'!$A:$O,'1 b felosztások'!G$2,0)*$I89,0)</f>
        <v>0</v>
      </c>
      <c r="S89" s="150">
        <f>IFERROR(VLOOKUP($M89,'1 b felosztások'!$A:$O,'1 b felosztások'!H$2,0)*$I89,0)</f>
        <v>0</v>
      </c>
      <c r="T89" s="150">
        <f>IFERROR(VLOOKUP($M89,'1 b felosztások'!$A:$O,'1 b felosztások'!I$2,0)*$I89,0)</f>
        <v>0</v>
      </c>
      <c r="U89" s="150">
        <f>IFERROR(VLOOKUP($M89,'1 b felosztások'!$A:$O,'1 b felosztások'!J$2,0)*$I89,0)</f>
        <v>0</v>
      </c>
      <c r="V89" s="150">
        <f>IFERROR(VLOOKUP($M89,'1 b felosztások'!$A:$O,'1 b felosztások'!K$2,0)*$I89,0)</f>
        <v>0</v>
      </c>
      <c r="W89" s="150">
        <f>IFERROR(VLOOKUP($M89,'1 b felosztások'!$A:$O,'1 b felosztások'!L$2,0)*$I89,0)</f>
        <v>7244966.00108431</v>
      </c>
      <c r="X89" s="150">
        <f>IFERROR(VLOOKUP($M89,'1 b felosztások'!$A:$O,'1 b felosztások'!M$2,0)*$I89,0)</f>
        <v>7009852.7380840043</v>
      </c>
      <c r="Y89" s="150">
        <f>IFERROR(VLOOKUP($M89,'1 b felosztások'!$A:$O,'1 b felosztások'!N$2,0)*$I89,0)</f>
        <v>0</v>
      </c>
      <c r="Z89" s="150">
        <f>IFERROR(VLOOKUP($M89,'1 b felosztások'!$A:$O,'1 b felosztások'!O$2,0)*$I89,0)</f>
        <v>0</v>
      </c>
      <c r="AA89" s="150">
        <f>IFERROR(VLOOKUP($M89,'1 b felosztások'!$A:$O,'1 b felosztások'!P$2,0)*$I89,0)</f>
        <v>0</v>
      </c>
      <c r="AB89" s="150">
        <f>IFERROR(VLOOKUP($M89,'1 b felosztások'!$A:$O,'1 b felosztások'!Q$2,0)*$I89,0)</f>
        <v>0</v>
      </c>
      <c r="AC89" s="150"/>
      <c r="AD89" s="150"/>
      <c r="AE89" s="150"/>
      <c r="AF89" s="150"/>
      <c r="AG89" s="150"/>
      <c r="AH89" s="150"/>
      <c r="AI89" s="150"/>
      <c r="AJ89" s="150"/>
      <c r="AK89" s="150"/>
      <c r="AL89" s="165"/>
      <c r="AM89" s="165"/>
      <c r="AN89" s="165"/>
      <c r="AO89" s="165"/>
      <c r="AP89" s="165"/>
      <c r="AQ89" s="165"/>
      <c r="AR89" s="165"/>
      <c r="AS89" s="165"/>
      <c r="AT89" s="165"/>
      <c r="AU89" s="165"/>
      <c r="AV89" s="165"/>
      <c r="AW89" s="165"/>
      <c r="AX89" s="165"/>
      <c r="AY89" s="165"/>
      <c r="AZ89" s="165"/>
      <c r="BA89" s="165"/>
      <c r="BB89" s="165"/>
      <c r="BC89" s="167"/>
      <c r="BD89" s="167"/>
      <c r="BE89" s="167"/>
      <c r="BF89" s="167"/>
      <c r="BG89" s="167"/>
      <c r="BH89" s="167"/>
      <c r="BI89" s="167"/>
      <c r="BJ89" s="167"/>
      <c r="BK89" s="167">
        <f t="shared" si="27"/>
        <v>20117059.999999996</v>
      </c>
      <c r="BL89" s="167">
        <f t="shared" si="28"/>
        <v>0</v>
      </c>
      <c r="BM89" s="167">
        <f t="shared" si="29"/>
        <v>0</v>
      </c>
      <c r="BN89" s="167">
        <f t="shared" si="30"/>
        <v>0</v>
      </c>
    </row>
    <row r="90" spans="1:66" s="168" customFormat="1" hidden="1" outlineLevel="2" x14ac:dyDescent="0.3">
      <c r="A90" s="169"/>
      <c r="B90" s="534" t="s">
        <v>821</v>
      </c>
      <c r="C90" s="534" t="s">
        <v>63</v>
      </c>
      <c r="D90" s="534" t="s">
        <v>3745</v>
      </c>
      <c r="E90" s="534" t="s">
        <v>821</v>
      </c>
      <c r="F90" s="164" t="s">
        <v>63</v>
      </c>
      <c r="G90" s="169">
        <v>322</v>
      </c>
      <c r="H90" s="169" t="s">
        <v>659</v>
      </c>
      <c r="I90" s="150">
        <f>'10.'!N27</f>
        <v>21500000</v>
      </c>
      <c r="J90" s="165">
        <f t="shared" si="40"/>
        <v>21500000</v>
      </c>
      <c r="K90" s="150">
        <f t="shared" si="41"/>
        <v>0</v>
      </c>
      <c r="L90" s="150">
        <f t="shared" si="26"/>
        <v>21500000</v>
      </c>
      <c r="M90" s="175">
        <v>10</v>
      </c>
      <c r="N90" s="150">
        <f>IFERROR(VLOOKUP($M90,'1 b felosztások'!$A:$O,'1 b felosztások'!C$2,0)*$I90,0)</f>
        <v>0</v>
      </c>
      <c r="O90" s="150">
        <f>IFERROR(VLOOKUP($M90,'1 b felosztások'!$A:$O,'1 b felosztások'!D$2,0)*$I90,0)</f>
        <v>0</v>
      </c>
      <c r="P90" s="150">
        <f>IFERROR(VLOOKUP($M90,'1 b felosztások'!$A:$O,'1 b felosztások'!E$2,0)*$I90,0)</f>
        <v>0</v>
      </c>
      <c r="Q90" s="150">
        <f>IFERROR(VLOOKUP($M90,'1 b felosztások'!$A:$O,'1 b felosztások'!F$2,0)*$I90,0)</f>
        <v>0</v>
      </c>
      <c r="R90" s="150">
        <f>IFERROR(VLOOKUP($M90,'1 b felosztások'!$A:$O,'1 b felosztások'!G$2,0)*$I90,0)</f>
        <v>0</v>
      </c>
      <c r="S90" s="150">
        <f>IFERROR(VLOOKUP($M90,'1 b felosztások'!$A:$O,'1 b felosztások'!H$2,0)*$I90,0)</f>
        <v>0</v>
      </c>
      <c r="T90" s="150">
        <f>IFERROR(VLOOKUP($M90,'1 b felosztások'!$A:$O,'1 b felosztások'!I$2,0)*$I90,0)</f>
        <v>0</v>
      </c>
      <c r="U90" s="150">
        <f>IFERROR(VLOOKUP($M90,'1 b felosztások'!$A:$O,'1 b felosztások'!J$2,0)*$I90,0)</f>
        <v>0</v>
      </c>
      <c r="V90" s="150">
        <f>IFERROR(VLOOKUP($M90,'1 b felosztások'!$A:$O,'1 b felosztások'!K$2,0)*$I90,0)</f>
        <v>16062032.462949894</v>
      </c>
      <c r="W90" s="150">
        <f>IFERROR(VLOOKUP($M90,'1 b felosztások'!$A:$O,'1 b felosztások'!L$2,0)*$I90,0)</f>
        <v>0</v>
      </c>
      <c r="X90" s="150">
        <f>IFERROR(VLOOKUP($M90,'1 b felosztások'!$A:$O,'1 b felosztások'!M$2,0)*$I90,0)</f>
        <v>0</v>
      </c>
      <c r="Y90" s="150">
        <f>IFERROR(VLOOKUP($M90,'1 b felosztások'!$A:$O,'1 b felosztások'!N$2,0)*$I90,0)</f>
        <v>0</v>
      </c>
      <c r="Z90" s="150">
        <f>IFERROR(VLOOKUP($M90,'1 b felosztások'!$A:$O,'1 b felosztások'!O$2,0)*$I90,0)</f>
        <v>5437967.5370501066</v>
      </c>
      <c r="AA90" s="150">
        <f>IFERROR(VLOOKUP($M90,'1 b felosztások'!$A:$O,'1 b felosztások'!P$2,0)*$I90,0)</f>
        <v>0</v>
      </c>
      <c r="AB90" s="150">
        <f>IFERROR(VLOOKUP($M90,'1 b felosztások'!$A:$O,'1 b felosztások'!Q$2,0)*$I90,0)</f>
        <v>0</v>
      </c>
      <c r="AC90" s="150"/>
      <c r="AD90" s="150"/>
      <c r="AE90" s="150"/>
      <c r="AF90" s="150"/>
      <c r="AG90" s="150"/>
      <c r="AH90" s="150"/>
      <c r="AI90" s="150"/>
      <c r="AJ90" s="150"/>
      <c r="AK90" s="150"/>
      <c r="AL90" s="165"/>
      <c r="AM90" s="165"/>
      <c r="AN90" s="165"/>
      <c r="AO90" s="165"/>
      <c r="AP90" s="165"/>
      <c r="AQ90" s="165"/>
      <c r="AR90" s="165"/>
      <c r="AS90" s="165"/>
      <c r="AT90" s="165"/>
      <c r="AU90" s="165"/>
      <c r="AV90" s="165"/>
      <c r="AW90" s="165"/>
      <c r="AX90" s="165"/>
      <c r="AY90" s="165"/>
      <c r="AZ90" s="165"/>
      <c r="BA90" s="165"/>
      <c r="BB90" s="165"/>
      <c r="BC90" s="167"/>
      <c r="BD90" s="167"/>
      <c r="BE90" s="167"/>
      <c r="BF90" s="167"/>
      <c r="BG90" s="167"/>
      <c r="BH90" s="167"/>
      <c r="BI90" s="167"/>
      <c r="BJ90" s="167"/>
      <c r="BK90" s="167">
        <f t="shared" si="27"/>
        <v>21500000</v>
      </c>
      <c r="BL90" s="167">
        <f t="shared" si="28"/>
        <v>0</v>
      </c>
      <c r="BM90" s="167">
        <f t="shared" si="29"/>
        <v>0</v>
      </c>
      <c r="BN90" s="167">
        <f t="shared" si="30"/>
        <v>0</v>
      </c>
    </row>
    <row r="91" spans="1:66" s="168" customFormat="1" collapsed="1" x14ac:dyDescent="0.3">
      <c r="A91" s="180"/>
      <c r="B91" s="180" t="s">
        <v>25</v>
      </c>
      <c r="C91" s="180" t="s">
        <v>2809</v>
      </c>
      <c r="D91" s="180" t="s">
        <v>2820</v>
      </c>
      <c r="E91" s="180" t="s">
        <v>25</v>
      </c>
      <c r="F91" s="180"/>
      <c r="G91" s="180"/>
      <c r="H91" s="180"/>
      <c r="I91" s="181">
        <f>+I83+I79+I72+I18+I11+I4+I80+I81+I82</f>
        <v>967418988.56411517</v>
      </c>
      <c r="J91" s="181">
        <f t="shared" ref="J91:BN91" si="42">+J83+J79+J72+J18+J11+J4+J80+J81+J82</f>
        <v>967418988.3493346</v>
      </c>
      <c r="K91" s="181">
        <f t="shared" si="42"/>
        <v>0.21478059806395322</v>
      </c>
      <c r="L91" s="181">
        <f t="shared" si="42"/>
        <v>967418988.3493346</v>
      </c>
      <c r="M91" s="181"/>
      <c r="N91" s="181">
        <f t="shared" si="42"/>
        <v>214056685.91415179</v>
      </c>
      <c r="O91" s="181">
        <f t="shared" si="42"/>
        <v>59001603.991652682</v>
      </c>
      <c r="P91" s="181">
        <f t="shared" si="42"/>
        <v>12495175.037725698</v>
      </c>
      <c r="Q91" s="181">
        <f t="shared" si="42"/>
        <v>72180356.690808609</v>
      </c>
      <c r="R91" s="181">
        <f t="shared" si="42"/>
        <v>28140534.672372825</v>
      </c>
      <c r="S91" s="181">
        <f t="shared" si="42"/>
        <v>66038490.158043176</v>
      </c>
      <c r="T91" s="181">
        <f t="shared" si="42"/>
        <v>32031694.478522141</v>
      </c>
      <c r="U91" s="181">
        <f t="shared" si="42"/>
        <v>76822608.432106018</v>
      </c>
      <c r="V91" s="181">
        <f t="shared" si="42"/>
        <v>100865340.98914032</v>
      </c>
      <c r="W91" s="181">
        <f t="shared" si="42"/>
        <v>76611522.946576953</v>
      </c>
      <c r="X91" s="181">
        <f t="shared" si="42"/>
        <v>44298602.369079374</v>
      </c>
      <c r="Y91" s="181">
        <f t="shared" si="42"/>
        <v>121577355.3580526</v>
      </c>
      <c r="Z91" s="181">
        <f t="shared" si="42"/>
        <v>40995507.711102381</v>
      </c>
      <c r="AA91" s="181">
        <f t="shared" si="42"/>
        <v>10071622.600000001</v>
      </c>
      <c r="AB91" s="181">
        <f>+AB83+AB79+AB72+AB18+AC11+AB4+AB80+AB81+AB82</f>
        <v>0</v>
      </c>
      <c r="AC91" s="181">
        <f>+AC83+AC11+AC79+AC72+AC18+AC4+AC80+AC81+AC82</f>
        <v>7231887</v>
      </c>
      <c r="AD91" s="181">
        <f t="shared" si="42"/>
        <v>5000000</v>
      </c>
      <c r="AE91" s="181">
        <f t="shared" si="42"/>
        <v>0</v>
      </c>
      <c r="AF91" s="181">
        <f t="shared" si="42"/>
        <v>0</v>
      </c>
      <c r="AG91" s="181">
        <f t="shared" si="42"/>
        <v>0</v>
      </c>
      <c r="AH91" s="181">
        <f t="shared" si="42"/>
        <v>0</v>
      </c>
      <c r="AI91" s="181">
        <f t="shared" si="42"/>
        <v>0</v>
      </c>
      <c r="AJ91" s="181">
        <f t="shared" si="42"/>
        <v>0</v>
      </c>
      <c r="AK91" s="181">
        <f t="shared" si="42"/>
        <v>0</v>
      </c>
      <c r="AL91" s="181">
        <f t="shared" si="42"/>
        <v>0</v>
      </c>
      <c r="AM91" s="181">
        <f t="shared" si="42"/>
        <v>0</v>
      </c>
      <c r="AN91" s="181">
        <f t="shared" si="42"/>
        <v>0</v>
      </c>
      <c r="AO91" s="181">
        <f t="shared" si="42"/>
        <v>0</v>
      </c>
      <c r="AP91" s="181">
        <f t="shared" si="42"/>
        <v>0</v>
      </c>
      <c r="AQ91" s="181"/>
      <c r="AR91" s="181">
        <f t="shared" si="42"/>
        <v>0</v>
      </c>
      <c r="AS91" s="181">
        <f t="shared" si="42"/>
        <v>0</v>
      </c>
      <c r="AT91" s="181">
        <f t="shared" si="42"/>
        <v>0</v>
      </c>
      <c r="AU91" s="181">
        <f t="shared" si="42"/>
        <v>0</v>
      </c>
      <c r="AV91" s="181">
        <f t="shared" si="42"/>
        <v>0</v>
      </c>
      <c r="AW91" s="181">
        <f t="shared" si="42"/>
        <v>0</v>
      </c>
      <c r="AX91" s="181">
        <f t="shared" si="42"/>
        <v>0</v>
      </c>
      <c r="AY91" s="181">
        <f t="shared" si="42"/>
        <v>0</v>
      </c>
      <c r="AZ91" s="181">
        <f t="shared" si="42"/>
        <v>0</v>
      </c>
      <c r="BA91" s="181">
        <f t="shared" si="42"/>
        <v>0</v>
      </c>
      <c r="BB91" s="181">
        <f t="shared" si="42"/>
        <v>0</v>
      </c>
      <c r="BC91" s="181">
        <f t="shared" si="42"/>
        <v>0</v>
      </c>
      <c r="BD91" s="181">
        <f t="shared" si="42"/>
        <v>0</v>
      </c>
      <c r="BE91" s="181">
        <f t="shared" si="42"/>
        <v>0</v>
      </c>
      <c r="BF91" s="181">
        <f t="shared" si="42"/>
        <v>0</v>
      </c>
      <c r="BG91" s="181">
        <f t="shared" si="42"/>
        <v>0</v>
      </c>
      <c r="BH91" s="181">
        <f t="shared" si="42"/>
        <v>0</v>
      </c>
      <c r="BI91" s="181">
        <f t="shared" si="42"/>
        <v>0</v>
      </c>
      <c r="BJ91" s="181">
        <f t="shared" si="42"/>
        <v>0</v>
      </c>
      <c r="BK91" s="181">
        <f t="shared" si="42"/>
        <v>955187101.3493346</v>
      </c>
      <c r="BL91" s="181">
        <f t="shared" si="42"/>
        <v>0</v>
      </c>
      <c r="BM91" s="181">
        <f t="shared" si="42"/>
        <v>12231887</v>
      </c>
      <c r="BN91" s="181">
        <f t="shared" si="42"/>
        <v>0</v>
      </c>
    </row>
    <row r="92" spans="1:66" s="168" customFormat="1" hidden="1" outlineLevel="1" collapsed="1" x14ac:dyDescent="0.3">
      <c r="A92" s="164">
        <v>10</v>
      </c>
      <c r="B92" s="164" t="s">
        <v>3753</v>
      </c>
      <c r="C92" s="164" t="s">
        <v>63</v>
      </c>
      <c r="D92" s="164" t="s">
        <v>2821</v>
      </c>
      <c r="E92" s="164" t="str">
        <f>VLOOKUP(A92,'Bevétel 2a SZH 2023'!B:C,2,0)</f>
        <v>Szombathelyi működésre ÁKTH elvonás 19,5 %</v>
      </c>
      <c r="F92" s="164" t="s">
        <v>2696</v>
      </c>
      <c r="G92" s="164"/>
      <c r="H92" s="164" t="s">
        <v>2617</v>
      </c>
      <c r="I92" s="165">
        <f>IFERROR(VLOOKUP($A92,'Bevétel 2a SZH 2023'!$B:$L,MATCH($I$1,'Bevétel 2a SZH 2023'!$B$1:$L$1,0),0), )</f>
        <v>-188646702.77000245</v>
      </c>
      <c r="J92" s="165">
        <f t="shared" ref="J92:J118" si="43">SUM(N92:AO92)</f>
        <v>-188646702.72812024</v>
      </c>
      <c r="K92" s="150">
        <f t="shared" si="16"/>
        <v>-4.1882216930389404E-2</v>
      </c>
      <c r="L92" s="150">
        <f t="shared" ref="L92:L127" si="44">SUM(N92:BJ92)</f>
        <v>4.1882246732711792E-2</v>
      </c>
      <c r="M92" s="166"/>
      <c r="N92" s="165">
        <f>SUM(N93:N94)</f>
        <v>-41741053.753259599</v>
      </c>
      <c r="O92" s="165">
        <f>SUM(O93:O94)</f>
        <v>-11505312.778372273</v>
      </c>
      <c r="P92" s="165">
        <f t="shared" ref="P92:Z92" si="45">SUM(P93:P94)</f>
        <v>-2436559.1323565114</v>
      </c>
      <c r="Q92" s="165">
        <f t="shared" si="45"/>
        <v>-14075169.55470768</v>
      </c>
      <c r="R92" s="165">
        <f t="shared" si="45"/>
        <v>-5487404.261112703</v>
      </c>
      <c r="S92" s="165">
        <f t="shared" si="45"/>
        <v>-12877505.580818418</v>
      </c>
      <c r="T92" s="165">
        <f t="shared" si="45"/>
        <v>-6246180.4233118184</v>
      </c>
      <c r="U92" s="165">
        <f t="shared" si="45"/>
        <v>-14980408.644260671</v>
      </c>
      <c r="V92" s="165">
        <f t="shared" si="45"/>
        <v>-19668741.492882363</v>
      </c>
      <c r="W92" s="165">
        <f t="shared" si="45"/>
        <v>-14939246.974582504</v>
      </c>
      <c r="X92" s="165">
        <f t="shared" si="45"/>
        <v>-8638227.4619704783</v>
      </c>
      <c r="Y92" s="165">
        <f t="shared" si="45"/>
        <v>-23707584.294820257</v>
      </c>
      <c r="Z92" s="165">
        <f t="shared" si="45"/>
        <v>-7994124.0036649657</v>
      </c>
      <c r="AA92" s="165">
        <f t="shared" ref="AA92:AO92" si="46">SUM(AA93:AA94)</f>
        <v>-1963966.4070000004</v>
      </c>
      <c r="AB92" s="165">
        <f t="shared" si="46"/>
        <v>0</v>
      </c>
      <c r="AC92" s="165">
        <f t="shared" si="46"/>
        <v>-1410217.9650000001</v>
      </c>
      <c r="AD92" s="165">
        <f t="shared" si="46"/>
        <v>-975000</v>
      </c>
      <c r="AE92" s="165">
        <f t="shared" si="46"/>
        <v>0</v>
      </c>
      <c r="AF92" s="165">
        <f t="shared" ref="AF92" si="47">SUM(AF93:AF94)</f>
        <v>0</v>
      </c>
      <c r="AG92" s="165">
        <f t="shared" ref="AG92" si="48">SUM(AG93:AG94)</f>
        <v>0</v>
      </c>
      <c r="AH92" s="165">
        <f t="shared" si="46"/>
        <v>0</v>
      </c>
      <c r="AI92" s="165">
        <f t="shared" si="46"/>
        <v>0</v>
      </c>
      <c r="AJ92" s="165">
        <f t="shared" si="46"/>
        <v>0</v>
      </c>
      <c r="AK92" s="165">
        <f t="shared" si="46"/>
        <v>0</v>
      </c>
      <c r="AL92" s="165">
        <f t="shared" si="46"/>
        <v>0</v>
      </c>
      <c r="AM92" s="165"/>
      <c r="AN92" s="165"/>
      <c r="AO92" s="165">
        <f t="shared" si="46"/>
        <v>0</v>
      </c>
      <c r="AP92" s="165"/>
      <c r="AQ92" s="165"/>
      <c r="AR92" s="165">
        <f>SUM(AR93:AR94)</f>
        <v>188646702.77000248</v>
      </c>
      <c r="AS92" s="165"/>
      <c r="AT92" s="165"/>
      <c r="AU92" s="165"/>
      <c r="AV92" s="165"/>
      <c r="AW92" s="165"/>
      <c r="AX92" s="165"/>
      <c r="AY92" s="165"/>
      <c r="AZ92" s="165"/>
      <c r="BA92" s="165"/>
      <c r="BB92" s="165"/>
      <c r="BC92" s="167"/>
      <c r="BD92" s="167"/>
      <c r="BE92" s="167"/>
      <c r="BF92" s="167"/>
      <c r="BG92" s="167"/>
      <c r="BH92" s="167"/>
      <c r="BI92" s="167"/>
      <c r="BJ92" s="167"/>
      <c r="BK92" s="167">
        <f>+SUM(N92:AA92)</f>
        <v>-186261484.76312023</v>
      </c>
      <c r="BL92" s="167">
        <f>+AB92</f>
        <v>0</v>
      </c>
      <c r="BM92" s="167">
        <f>+SUM(AC92:AO92)</f>
        <v>-2385217.9649999999</v>
      </c>
      <c r="BN92" s="167">
        <f>+SUM(AP92:BJ92)</f>
        <v>188646702.77000248</v>
      </c>
    </row>
    <row r="93" spans="1:66" s="171" customFormat="1" hidden="1" outlineLevel="2" x14ac:dyDescent="0.3">
      <c r="A93" s="169"/>
      <c r="B93" s="169"/>
      <c r="C93" s="169"/>
      <c r="D93" s="169"/>
      <c r="E93" s="169" t="s">
        <v>3908</v>
      </c>
      <c r="F93" s="164" t="s">
        <v>63</v>
      </c>
      <c r="G93" s="169">
        <v>285</v>
      </c>
      <c r="H93" s="169" t="s">
        <v>589</v>
      </c>
      <c r="I93" s="150">
        <f>-(I11+I18+I72)*0.195</f>
        <v>-13556649.399241464</v>
      </c>
      <c r="J93" s="150">
        <f t="shared" si="43"/>
        <v>-13556649.458699735</v>
      </c>
      <c r="K93" s="150">
        <f t="shared" ref="K93:K204" si="49">+I93-J93</f>
        <v>5.9458270668983459E-2</v>
      </c>
      <c r="L93" s="150">
        <f t="shared" si="44"/>
        <v>-5.9458270668983459E-2</v>
      </c>
      <c r="M93" s="173"/>
      <c r="N93" s="150">
        <f>-(N11+N18+N72)*0.195</f>
        <v>-2783280.4488070896</v>
      </c>
      <c r="O93" s="150">
        <f t="shared" ref="O93:AO93" si="50">-(O11+O18+O72)*0.195</f>
        <v>-471501.56696919899</v>
      </c>
      <c r="P93" s="150">
        <f t="shared" si="50"/>
        <v>-157424.39216611246</v>
      </c>
      <c r="Q93" s="150">
        <f t="shared" si="50"/>
        <v>-453956.6242446602</v>
      </c>
      <c r="R93" s="150">
        <f t="shared" si="50"/>
        <v>-645103.18556578504</v>
      </c>
      <c r="S93" s="150">
        <f t="shared" si="50"/>
        <v>-625806.35486266785</v>
      </c>
      <c r="T93" s="150">
        <f t="shared" si="50"/>
        <v>-305680.83832770836</v>
      </c>
      <c r="U93" s="150">
        <f t="shared" si="50"/>
        <v>-2612425.2675585453</v>
      </c>
      <c r="V93" s="150">
        <f t="shared" si="50"/>
        <v>-681287.98539538949</v>
      </c>
      <c r="W93" s="150">
        <f t="shared" si="50"/>
        <v>-600215.36655091471</v>
      </c>
      <c r="X93" s="150">
        <f t="shared" si="50"/>
        <v>-228894.53637716276</v>
      </c>
      <c r="Y93" s="150">
        <f t="shared" si="50"/>
        <v>-1372737.2260858356</v>
      </c>
      <c r="Z93" s="150">
        <f t="shared" si="50"/>
        <v>-233117.70078866312</v>
      </c>
      <c r="AA93" s="150">
        <f t="shared" si="50"/>
        <v>0</v>
      </c>
      <c r="AB93" s="150">
        <f>-(AB11+AB18+AB72)*0.195</f>
        <v>0</v>
      </c>
      <c r="AC93" s="150">
        <f>-(AC11+AC18+AC72)*0.195</f>
        <v>-1410217.9650000001</v>
      </c>
      <c r="AD93" s="150">
        <f t="shared" si="50"/>
        <v>-975000</v>
      </c>
      <c r="AE93" s="150">
        <f t="shared" si="50"/>
        <v>0</v>
      </c>
      <c r="AF93" s="150">
        <f t="shared" si="50"/>
        <v>0</v>
      </c>
      <c r="AG93" s="150">
        <f t="shared" si="50"/>
        <v>0</v>
      </c>
      <c r="AH93" s="150">
        <f t="shared" si="50"/>
        <v>0</v>
      </c>
      <c r="AI93" s="150">
        <f t="shared" si="50"/>
        <v>0</v>
      </c>
      <c r="AJ93" s="150">
        <f t="shared" si="50"/>
        <v>0</v>
      </c>
      <c r="AK93" s="150">
        <f t="shared" si="50"/>
        <v>0</v>
      </c>
      <c r="AL93" s="150">
        <f t="shared" si="50"/>
        <v>0</v>
      </c>
      <c r="AM93" s="150"/>
      <c r="AN93" s="150"/>
      <c r="AO93" s="150">
        <f t="shared" si="50"/>
        <v>0</v>
      </c>
      <c r="AP93" s="150"/>
      <c r="AQ93" s="150"/>
      <c r="AR93" s="150">
        <f>-I93</f>
        <v>13556649.399241464</v>
      </c>
      <c r="AS93" s="150"/>
      <c r="AT93" s="150"/>
      <c r="AU93" s="150"/>
      <c r="AV93" s="150"/>
      <c r="AW93" s="150"/>
      <c r="AX93" s="150"/>
      <c r="AY93" s="150"/>
      <c r="AZ93" s="150"/>
      <c r="BA93" s="150"/>
      <c r="BB93" s="150"/>
      <c r="BC93" s="170"/>
      <c r="BD93" s="170"/>
      <c r="BE93" s="170"/>
      <c r="BF93" s="170"/>
      <c r="BG93" s="170"/>
      <c r="BH93" s="170"/>
      <c r="BI93" s="170"/>
      <c r="BJ93" s="170"/>
      <c r="BK93" s="167">
        <f>+SUM(N93:AA93)</f>
        <v>-11171431.493699735</v>
      </c>
      <c r="BL93" s="167">
        <f>+AB93</f>
        <v>0</v>
      </c>
      <c r="BM93" s="167">
        <f>+SUM(AC93:AO93)</f>
        <v>-2385217.9649999999</v>
      </c>
      <c r="BN93" s="167">
        <f>+SUM(AP93:BJ93)</f>
        <v>13556649.399241464</v>
      </c>
    </row>
    <row r="94" spans="1:66" s="171" customFormat="1" hidden="1" outlineLevel="2" x14ac:dyDescent="0.3">
      <c r="A94" s="169"/>
      <c r="B94" s="169"/>
      <c r="C94" s="169"/>
      <c r="D94" s="169"/>
      <c r="E94" s="169" t="s">
        <v>3909</v>
      </c>
      <c r="F94" s="164" t="s">
        <v>63</v>
      </c>
      <c r="G94" s="169">
        <v>332</v>
      </c>
      <c r="H94" s="169" t="s">
        <v>678</v>
      </c>
      <c r="I94" s="150">
        <f>-(I4+I79+I80+I83+I81+I82)*0.195</f>
        <v>-175090053.37076101</v>
      </c>
      <c r="J94" s="150">
        <f t="shared" si="43"/>
        <v>-175090053.2694205</v>
      </c>
      <c r="K94" s="150">
        <f t="shared" si="49"/>
        <v>-0.10134050250053406</v>
      </c>
      <c r="L94" s="150">
        <f t="shared" si="44"/>
        <v>0.10134050250053406</v>
      </c>
      <c r="M94" s="173"/>
      <c r="N94" s="150">
        <f>-(N4+N79+N80+N83+N81+N82)*0.195</f>
        <v>-38957773.304452509</v>
      </c>
      <c r="O94" s="150">
        <f t="shared" ref="O94:AO94" si="51">-(O4+O79+O80+O83+O81+O82)*0.195</f>
        <v>-11033811.211403074</v>
      </c>
      <c r="P94" s="150">
        <f t="shared" si="51"/>
        <v>-2279134.7401903989</v>
      </c>
      <c r="Q94" s="150">
        <f t="shared" si="51"/>
        <v>-13621212.93046302</v>
      </c>
      <c r="R94" s="150">
        <f t="shared" si="51"/>
        <v>-4842301.0755469175</v>
      </c>
      <c r="S94" s="150">
        <f t="shared" si="51"/>
        <v>-12251699.225955751</v>
      </c>
      <c r="T94" s="150">
        <f t="shared" si="51"/>
        <v>-5940499.5849841097</v>
      </c>
      <c r="U94" s="150">
        <f t="shared" si="51"/>
        <v>-12367983.376702126</v>
      </c>
      <c r="V94" s="150">
        <f t="shared" si="51"/>
        <v>-18987453.507486973</v>
      </c>
      <c r="W94" s="150">
        <f t="shared" si="51"/>
        <v>-14339031.60803159</v>
      </c>
      <c r="X94" s="150">
        <f t="shared" si="51"/>
        <v>-8409332.9255933147</v>
      </c>
      <c r="Y94" s="150">
        <f t="shared" si="51"/>
        <v>-22334847.068734422</v>
      </c>
      <c r="Z94" s="150">
        <f t="shared" si="51"/>
        <v>-7761006.302876303</v>
      </c>
      <c r="AA94" s="150">
        <f t="shared" si="51"/>
        <v>-1963966.4070000004</v>
      </c>
      <c r="AB94" s="150">
        <f t="shared" si="51"/>
        <v>0</v>
      </c>
      <c r="AC94" s="150">
        <f t="shared" si="51"/>
        <v>0</v>
      </c>
      <c r="AD94" s="150">
        <f t="shared" si="51"/>
        <v>0</v>
      </c>
      <c r="AE94" s="150">
        <f t="shared" si="51"/>
        <v>0</v>
      </c>
      <c r="AF94" s="150">
        <f t="shared" si="51"/>
        <v>0</v>
      </c>
      <c r="AG94" s="150">
        <f t="shared" si="51"/>
        <v>0</v>
      </c>
      <c r="AH94" s="150">
        <f t="shared" si="51"/>
        <v>0</v>
      </c>
      <c r="AI94" s="150">
        <f t="shared" si="51"/>
        <v>0</v>
      </c>
      <c r="AJ94" s="150">
        <f t="shared" si="51"/>
        <v>0</v>
      </c>
      <c r="AK94" s="150">
        <f t="shared" si="51"/>
        <v>0</v>
      </c>
      <c r="AL94" s="150">
        <f t="shared" si="51"/>
        <v>0</v>
      </c>
      <c r="AM94" s="150"/>
      <c r="AN94" s="150"/>
      <c r="AO94" s="150">
        <f t="shared" si="51"/>
        <v>0</v>
      </c>
      <c r="AP94" s="150"/>
      <c r="AQ94" s="150"/>
      <c r="AR94" s="150">
        <f>-I94</f>
        <v>175090053.37076101</v>
      </c>
      <c r="AS94" s="150"/>
      <c r="AT94" s="150"/>
      <c r="AU94" s="150"/>
      <c r="AV94" s="150"/>
      <c r="AW94" s="150"/>
      <c r="AX94" s="150"/>
      <c r="AY94" s="150"/>
      <c r="AZ94" s="150"/>
      <c r="BA94" s="150"/>
      <c r="BB94" s="150"/>
      <c r="BC94" s="170"/>
      <c r="BD94" s="170"/>
      <c r="BE94" s="170"/>
      <c r="BF94" s="170"/>
      <c r="BG94" s="170"/>
      <c r="BH94" s="170"/>
      <c r="BI94" s="170"/>
      <c r="BJ94" s="170"/>
      <c r="BK94" s="167">
        <f>+SUM(N94:AA94)</f>
        <v>-175090053.2694205</v>
      </c>
      <c r="BL94" s="167">
        <f>+AB94</f>
        <v>0</v>
      </c>
      <c r="BM94" s="167">
        <f>+SUM(AC94:AO94)</f>
        <v>0</v>
      </c>
      <c r="BN94" s="167">
        <f>+SUM(AP94:BJ94)</f>
        <v>175090053.37076101</v>
      </c>
    </row>
    <row r="95" spans="1:66" s="168" customFormat="1" hidden="1" outlineLevel="1" collapsed="1" x14ac:dyDescent="0.3">
      <c r="A95" s="164">
        <v>11</v>
      </c>
      <c r="B95" s="164" t="s">
        <v>3284</v>
      </c>
      <c r="C95" s="164" t="s">
        <v>63</v>
      </c>
      <c r="D95" s="164" t="s">
        <v>2822</v>
      </c>
      <c r="E95" s="164" t="str">
        <f>VLOOKUP(A95,'Bevétel 2a SZH 2023'!B:C,2,0)</f>
        <v>Egyetemi kiválósági alap elvonás -0,5%</v>
      </c>
      <c r="F95" s="164" t="s">
        <v>2696</v>
      </c>
      <c r="G95" s="164"/>
      <c r="H95" s="164" t="s">
        <v>2617</v>
      </c>
      <c r="I95" s="165">
        <f>IFERROR(VLOOKUP($A95,'Bevétel 2a SZH 2023'!$B:$L,MATCH($I$1,'Bevétel 2a SZH 2023'!$B$1:$L$1,0),0), )</f>
        <v>-4837094.942820576</v>
      </c>
      <c r="J95" s="165">
        <f t="shared" si="43"/>
        <v>-4837094.9417466726</v>
      </c>
      <c r="K95" s="150">
        <f t="shared" si="49"/>
        <v>-1.0739034041762352E-3</v>
      </c>
      <c r="L95" s="150">
        <f t="shared" si="44"/>
        <v>1.0739034041762352E-3</v>
      </c>
      <c r="M95" s="166"/>
      <c r="N95" s="165">
        <f>SUM(N96:N97)</f>
        <v>-1070283.4295707589</v>
      </c>
      <c r="O95" s="165">
        <f>SUM(O96:O97)</f>
        <v>-295008.01995826344</v>
      </c>
      <c r="P95" s="165">
        <f t="shared" ref="P95:Y95" si="52">SUM(P96:P97)</f>
        <v>-62475.875188628495</v>
      </c>
      <c r="Q95" s="165">
        <f t="shared" si="52"/>
        <v>-360901.78345404303</v>
      </c>
      <c r="R95" s="165">
        <f t="shared" si="52"/>
        <v>-140702.67336186414</v>
      </c>
      <c r="S95" s="165">
        <f t="shared" si="52"/>
        <v>-330192.45079021587</v>
      </c>
      <c r="T95" s="165">
        <f t="shared" si="52"/>
        <v>-160158.47239261071</v>
      </c>
      <c r="U95" s="165">
        <f t="shared" si="52"/>
        <v>-384113.04216052999</v>
      </c>
      <c r="V95" s="165">
        <f t="shared" si="52"/>
        <v>-504326.70494570158</v>
      </c>
      <c r="W95" s="165">
        <f t="shared" si="52"/>
        <v>-383057.61473288469</v>
      </c>
      <c r="X95" s="165">
        <f t="shared" si="52"/>
        <v>-221493.01184539686</v>
      </c>
      <c r="Y95" s="165">
        <f t="shared" si="52"/>
        <v>-607886.77679026301</v>
      </c>
      <c r="Z95" s="165">
        <f t="shared" ref="Z95" si="53">SUM(Z96:Z97)</f>
        <v>-204977.53855551194</v>
      </c>
      <c r="AA95" s="165">
        <f t="shared" ref="AA95:AO95" si="54">SUM(AA96:AA97)</f>
        <v>-50358.113000000012</v>
      </c>
      <c r="AB95" s="165">
        <f t="shared" si="54"/>
        <v>0</v>
      </c>
      <c r="AC95" s="165">
        <f t="shared" si="54"/>
        <v>-36159.434999999998</v>
      </c>
      <c r="AD95" s="165">
        <f t="shared" si="54"/>
        <v>-25000</v>
      </c>
      <c r="AE95" s="165">
        <f t="shared" si="54"/>
        <v>0</v>
      </c>
      <c r="AF95" s="165">
        <f t="shared" ref="AF95" si="55">SUM(AF96:AF97)</f>
        <v>0</v>
      </c>
      <c r="AG95" s="165">
        <f t="shared" ref="AG95" si="56">SUM(AG96:AG97)</f>
        <v>0</v>
      </c>
      <c r="AH95" s="165">
        <f t="shared" si="54"/>
        <v>0</v>
      </c>
      <c r="AI95" s="165">
        <f t="shared" si="54"/>
        <v>0</v>
      </c>
      <c r="AJ95" s="165">
        <f t="shared" si="54"/>
        <v>0</v>
      </c>
      <c r="AK95" s="165">
        <f t="shared" si="54"/>
        <v>0</v>
      </c>
      <c r="AL95" s="165">
        <f t="shared" si="54"/>
        <v>0</v>
      </c>
      <c r="AM95" s="165"/>
      <c r="AN95" s="165"/>
      <c r="AO95" s="165">
        <f t="shared" si="54"/>
        <v>0</v>
      </c>
      <c r="AP95" s="165"/>
      <c r="AQ95" s="165"/>
      <c r="AR95" s="165"/>
      <c r="AS95" s="165"/>
      <c r="AT95" s="165"/>
      <c r="AU95" s="165">
        <f>$I95*-1</f>
        <v>4837094.942820576</v>
      </c>
      <c r="AV95" s="165"/>
      <c r="AW95" s="165"/>
      <c r="AX95" s="165"/>
      <c r="AY95" s="165"/>
      <c r="AZ95" s="165"/>
      <c r="BA95" s="165"/>
      <c r="BB95" s="165"/>
      <c r="BC95" s="167"/>
      <c r="BD95" s="167"/>
      <c r="BE95" s="167"/>
      <c r="BF95" s="167"/>
      <c r="BG95" s="167"/>
      <c r="BH95" s="167"/>
      <c r="BI95" s="167"/>
      <c r="BJ95" s="167"/>
      <c r="BK95" s="167">
        <f>+SUM(N95:AA95)</f>
        <v>-4775935.506746673</v>
      </c>
      <c r="BL95" s="167">
        <f>+AB95</f>
        <v>0</v>
      </c>
      <c r="BM95" s="167">
        <f>+SUM(AC95:AO95)</f>
        <v>-61159.434999999998</v>
      </c>
      <c r="BN95" s="167">
        <f>+SUM(AP95:BJ95)</f>
        <v>4837094.942820576</v>
      </c>
    </row>
    <row r="96" spans="1:66" s="171" customFormat="1" hidden="1" outlineLevel="2" x14ac:dyDescent="0.3">
      <c r="A96" s="169"/>
      <c r="B96" s="169"/>
      <c r="C96" s="169"/>
      <c r="D96" s="169"/>
      <c r="E96" s="169" t="s">
        <v>3906</v>
      </c>
      <c r="F96" s="164" t="s">
        <v>63</v>
      </c>
      <c r="G96" s="169">
        <v>298</v>
      </c>
      <c r="H96" s="169" t="s">
        <v>611</v>
      </c>
      <c r="I96" s="150">
        <f>-(I11+I18+I72)*0.005</f>
        <v>-347606.39485234523</v>
      </c>
      <c r="J96" s="150">
        <f t="shared" si="43"/>
        <v>-347606.39637691627</v>
      </c>
      <c r="K96" s="150">
        <f t="shared" si="49"/>
        <v>1.5245710383169353E-3</v>
      </c>
      <c r="L96" s="150">
        <f t="shared" si="44"/>
        <v>-1.5245710383169353E-3</v>
      </c>
      <c r="M96" s="173"/>
      <c r="N96" s="150">
        <f t="shared" ref="N96:AT96" si="57">-(N11+N18+N72)*0.005</f>
        <v>-71366.165354027937</v>
      </c>
      <c r="O96" s="150">
        <f t="shared" si="57"/>
        <v>-12089.783768441001</v>
      </c>
      <c r="P96" s="150">
        <f t="shared" si="57"/>
        <v>-4036.5228760541654</v>
      </c>
      <c r="Q96" s="150">
        <f t="shared" si="57"/>
        <v>-11639.913442170773</v>
      </c>
      <c r="R96" s="150">
        <f t="shared" si="57"/>
        <v>-16541.107322199616</v>
      </c>
      <c r="S96" s="150">
        <f t="shared" si="57"/>
        <v>-16046.316791350459</v>
      </c>
      <c r="T96" s="150">
        <f t="shared" si="57"/>
        <v>-7837.9702135309835</v>
      </c>
      <c r="U96" s="150">
        <f t="shared" si="57"/>
        <v>-66985.263270731928</v>
      </c>
      <c r="V96" s="150">
        <f t="shared" si="57"/>
        <v>-17468.922702445885</v>
      </c>
      <c r="W96" s="150">
        <f t="shared" si="57"/>
        <v>-15390.137603869609</v>
      </c>
      <c r="X96" s="150">
        <f t="shared" si="57"/>
        <v>-5869.090676337506</v>
      </c>
      <c r="Y96" s="150">
        <f t="shared" si="57"/>
        <v>-35198.390412457324</v>
      </c>
      <c r="Z96" s="150">
        <f t="shared" si="57"/>
        <v>-5977.3769432990548</v>
      </c>
      <c r="AA96" s="150">
        <f t="shared" si="57"/>
        <v>0</v>
      </c>
      <c r="AB96" s="150">
        <f>-(AC11+AB18+AB72)*0.005</f>
        <v>0</v>
      </c>
      <c r="AC96" s="150">
        <f>-(AC11+AC18+AC72)*0.005</f>
        <v>-36159.434999999998</v>
      </c>
      <c r="AD96" s="150">
        <f t="shared" si="57"/>
        <v>-25000</v>
      </c>
      <c r="AE96" s="150">
        <f t="shared" si="57"/>
        <v>0</v>
      </c>
      <c r="AF96" s="150">
        <f t="shared" si="57"/>
        <v>0</v>
      </c>
      <c r="AG96" s="150">
        <f t="shared" si="57"/>
        <v>0</v>
      </c>
      <c r="AH96" s="150">
        <f t="shared" si="57"/>
        <v>0</v>
      </c>
      <c r="AI96" s="150">
        <f t="shared" si="57"/>
        <v>0</v>
      </c>
      <c r="AJ96" s="150">
        <f t="shared" si="57"/>
        <v>0</v>
      </c>
      <c r="AK96" s="150">
        <f t="shared" si="57"/>
        <v>0</v>
      </c>
      <c r="AL96" s="150">
        <f t="shared" si="57"/>
        <v>0</v>
      </c>
      <c r="AM96" s="150"/>
      <c r="AN96" s="150"/>
      <c r="AO96" s="150">
        <f t="shared" si="57"/>
        <v>0</v>
      </c>
      <c r="AP96" s="150">
        <f t="shared" si="57"/>
        <v>0</v>
      </c>
      <c r="AQ96" s="150"/>
      <c r="AR96" s="150">
        <f t="shared" si="57"/>
        <v>0</v>
      </c>
      <c r="AS96" s="150">
        <f t="shared" si="57"/>
        <v>0</v>
      </c>
      <c r="AT96" s="150">
        <f t="shared" si="57"/>
        <v>0</v>
      </c>
      <c r="AU96" s="150">
        <f>-I96</f>
        <v>347606.39485234523</v>
      </c>
      <c r="AV96" s="150"/>
      <c r="AW96" s="150"/>
      <c r="AX96" s="150"/>
      <c r="AY96" s="150"/>
      <c r="AZ96" s="150"/>
      <c r="BA96" s="150"/>
      <c r="BB96" s="150"/>
      <c r="BC96" s="170"/>
      <c r="BD96" s="170"/>
      <c r="BE96" s="170"/>
      <c r="BF96" s="170"/>
      <c r="BG96" s="170"/>
      <c r="BH96" s="170"/>
      <c r="BI96" s="170"/>
      <c r="BJ96" s="170"/>
      <c r="BK96" s="167">
        <f>+SUM(N96:AA96)</f>
        <v>-286446.96137691627</v>
      </c>
      <c r="BL96" s="167">
        <f>+AB96</f>
        <v>0</v>
      </c>
      <c r="BM96" s="167">
        <f>+SUM(AC96:AO96)</f>
        <v>-61159.434999999998</v>
      </c>
      <c r="BN96" s="167">
        <f>+SUM(AP96:BJ96)</f>
        <v>347606.39485234523</v>
      </c>
    </row>
    <row r="97" spans="1:66" s="171" customFormat="1" hidden="1" outlineLevel="2" x14ac:dyDescent="0.3">
      <c r="A97" s="169"/>
      <c r="B97" s="169"/>
      <c r="C97" s="169"/>
      <c r="D97" s="169"/>
      <c r="E97" s="169" t="s">
        <v>3907</v>
      </c>
      <c r="F97" s="164" t="s">
        <v>63</v>
      </c>
      <c r="G97" s="169">
        <v>342</v>
      </c>
      <c r="H97" s="169" t="s">
        <v>694</v>
      </c>
      <c r="I97" s="150">
        <f>-(I4+I79+I80+I83+I81+I82)*0.005</f>
        <v>-4489488.5479682311</v>
      </c>
      <c r="J97" s="150">
        <f t="shared" si="43"/>
        <v>-4489488.5453697564</v>
      </c>
      <c r="K97" s="150">
        <f t="shared" si="49"/>
        <v>-2.5984747335314751E-3</v>
      </c>
      <c r="L97" s="150">
        <f t="shared" si="44"/>
        <v>2.5984747335314751E-3</v>
      </c>
      <c r="M97" s="173"/>
      <c r="N97" s="150">
        <f t="shared" ref="N97:BN97" si="58">-(N4+N79+N80+N83+N81+N82)*0.005</f>
        <v>-998917.26421673095</v>
      </c>
      <c r="O97" s="150">
        <f t="shared" si="58"/>
        <v>-282918.23618982243</v>
      </c>
      <c r="P97" s="150">
        <f t="shared" si="58"/>
        <v>-58439.35231257433</v>
      </c>
      <c r="Q97" s="150">
        <f t="shared" si="58"/>
        <v>-349261.87001187226</v>
      </c>
      <c r="R97" s="150">
        <f t="shared" si="58"/>
        <v>-124161.56603966454</v>
      </c>
      <c r="S97" s="150">
        <f t="shared" si="58"/>
        <v>-314146.13399886544</v>
      </c>
      <c r="T97" s="150">
        <f t="shared" si="58"/>
        <v>-152320.50217907972</v>
      </c>
      <c r="U97" s="150">
        <f t="shared" si="58"/>
        <v>-317127.77888979809</v>
      </c>
      <c r="V97" s="150">
        <f t="shared" si="58"/>
        <v>-486857.7822432557</v>
      </c>
      <c r="W97" s="150">
        <f t="shared" si="58"/>
        <v>-367667.47712901508</v>
      </c>
      <c r="X97" s="150">
        <f t="shared" si="58"/>
        <v>-215623.92116905935</v>
      </c>
      <c r="Y97" s="150">
        <f t="shared" si="58"/>
        <v>-572688.38637780573</v>
      </c>
      <c r="Z97" s="150">
        <f t="shared" si="58"/>
        <v>-199000.16161221289</v>
      </c>
      <c r="AA97" s="150">
        <f t="shared" si="58"/>
        <v>-50358.113000000012</v>
      </c>
      <c r="AB97" s="150">
        <f t="shared" si="58"/>
        <v>0</v>
      </c>
      <c r="AC97" s="150">
        <f t="shared" si="58"/>
        <v>0</v>
      </c>
      <c r="AD97" s="150">
        <f t="shared" si="58"/>
        <v>0</v>
      </c>
      <c r="AE97" s="150">
        <f t="shared" si="58"/>
        <v>0</v>
      </c>
      <c r="AF97" s="150">
        <f t="shared" si="58"/>
        <v>0</v>
      </c>
      <c r="AG97" s="150">
        <f t="shared" si="58"/>
        <v>0</v>
      </c>
      <c r="AH97" s="150">
        <f t="shared" si="58"/>
        <v>0</v>
      </c>
      <c r="AI97" s="150">
        <f t="shared" si="58"/>
        <v>0</v>
      </c>
      <c r="AJ97" s="150">
        <f t="shared" si="58"/>
        <v>0</v>
      </c>
      <c r="AK97" s="150">
        <f t="shared" si="58"/>
        <v>0</v>
      </c>
      <c r="AL97" s="150">
        <f t="shared" si="58"/>
        <v>0</v>
      </c>
      <c r="AM97" s="150"/>
      <c r="AN97" s="150"/>
      <c r="AO97" s="150">
        <f t="shared" si="58"/>
        <v>0</v>
      </c>
      <c r="AP97" s="150">
        <f t="shared" si="58"/>
        <v>0</v>
      </c>
      <c r="AQ97" s="150"/>
      <c r="AR97" s="150">
        <f t="shared" si="58"/>
        <v>0</v>
      </c>
      <c r="AS97" s="150">
        <f t="shared" si="58"/>
        <v>0</v>
      </c>
      <c r="AT97" s="150">
        <f t="shared" si="58"/>
        <v>0</v>
      </c>
      <c r="AU97" s="150">
        <f>-I97</f>
        <v>4489488.5479682311</v>
      </c>
      <c r="AV97" s="150"/>
      <c r="AW97" s="150"/>
      <c r="AX97" s="150"/>
      <c r="AY97" s="150"/>
      <c r="AZ97" s="150"/>
      <c r="BA97" s="150"/>
      <c r="BB97" s="150"/>
      <c r="BC97" s="150"/>
      <c r="BD97" s="150"/>
      <c r="BE97" s="150"/>
      <c r="BF97" s="150"/>
      <c r="BG97" s="150"/>
      <c r="BH97" s="150"/>
      <c r="BI97" s="150"/>
      <c r="BJ97" s="150"/>
      <c r="BK97" s="150">
        <f t="shared" si="58"/>
        <v>-4489488.5453697573</v>
      </c>
      <c r="BL97" s="150">
        <f t="shared" si="58"/>
        <v>0</v>
      </c>
      <c r="BM97" s="150">
        <f t="shared" si="58"/>
        <v>0</v>
      </c>
      <c r="BN97" s="150">
        <f t="shared" si="58"/>
        <v>0</v>
      </c>
    </row>
    <row r="98" spans="1:66" s="168" customFormat="1" hidden="1" outlineLevel="1" collapsed="1" x14ac:dyDescent="0.3">
      <c r="A98" s="164">
        <v>12</v>
      </c>
      <c r="B98" s="164" t="s">
        <v>26</v>
      </c>
      <c r="C98" s="164" t="s">
        <v>63</v>
      </c>
      <c r="D98" s="164" t="s">
        <v>2823</v>
      </c>
      <c r="E98" s="164" t="str">
        <f>VLOOKUP(A98,'Bevétel 2a SZH 2023'!B:C,2,0)</f>
        <v>Kari kiválósági -1,5 %</v>
      </c>
      <c r="F98" s="164" t="s">
        <v>2696</v>
      </c>
      <c r="G98" s="164"/>
      <c r="H98" s="164" t="s">
        <v>2617</v>
      </c>
      <c r="I98" s="165">
        <f>IFERROR(VLOOKUP($A98,'Bevétel 2a SZH 2023'!$B:$L,MATCH($I$1,'Bevétel 2a SZH 2023'!$B$1:$L$1,0),0), )</f>
        <v>-14511284.828461727</v>
      </c>
      <c r="J98" s="165">
        <f t="shared" si="43"/>
        <v>-14511284.825240018</v>
      </c>
      <c r="K98" s="165">
        <f>+I98-J98</f>
        <v>-3.221709281206131E-3</v>
      </c>
      <c r="L98" s="150">
        <f t="shared" si="44"/>
        <v>-14511284.825240018</v>
      </c>
      <c r="M98" s="166"/>
      <c r="N98" s="165">
        <f>SUM(N99:N100)</f>
        <v>-3210850.2887122766</v>
      </c>
      <c r="O98" s="165">
        <f>SUM(O99:O100)</f>
        <v>-885024.05987479025</v>
      </c>
      <c r="P98" s="165">
        <f t="shared" ref="P98:Z98" si="59">SUM(P99:P100)</f>
        <v>-187427.62556588548</v>
      </c>
      <c r="Q98" s="165">
        <f t="shared" si="59"/>
        <v>-1082705.350362129</v>
      </c>
      <c r="R98" s="165">
        <f t="shared" si="59"/>
        <v>-422108.02008559246</v>
      </c>
      <c r="S98" s="165">
        <f t="shared" si="59"/>
        <v>-990577.3523706476</v>
      </c>
      <c r="T98" s="165">
        <f t="shared" si="59"/>
        <v>-480475.4171778321</v>
      </c>
      <c r="U98" s="165">
        <f t="shared" si="59"/>
        <v>-1152339.1264815901</v>
      </c>
      <c r="V98" s="165">
        <f t="shared" si="59"/>
        <v>-1512980.1148371047</v>
      </c>
      <c r="W98" s="165">
        <f t="shared" si="59"/>
        <v>-1149172.8441986539</v>
      </c>
      <c r="X98" s="165">
        <f t="shared" si="59"/>
        <v>-664479.03553619061</v>
      </c>
      <c r="Y98" s="165">
        <f t="shared" si="59"/>
        <v>-1823660.3303707889</v>
      </c>
      <c r="Z98" s="165">
        <f t="shared" si="59"/>
        <v>-614932.6156665358</v>
      </c>
      <c r="AA98" s="165">
        <f t="shared" ref="AA98:AO98" si="60">SUM(AA99:AA100)</f>
        <v>-151074.33900000004</v>
      </c>
      <c r="AB98" s="165">
        <f t="shared" si="60"/>
        <v>0</v>
      </c>
      <c r="AC98" s="165">
        <f t="shared" si="60"/>
        <v>-108478.30499999999</v>
      </c>
      <c r="AD98" s="165">
        <f t="shared" si="60"/>
        <v>-75000</v>
      </c>
      <c r="AE98" s="165">
        <f t="shared" si="60"/>
        <v>0</v>
      </c>
      <c r="AF98" s="165">
        <f t="shared" ref="AF98" si="61">SUM(AF99:AF100)</f>
        <v>0</v>
      </c>
      <c r="AG98" s="165">
        <f t="shared" ref="AG98" si="62">SUM(AG99:AG100)</f>
        <v>0</v>
      </c>
      <c r="AH98" s="165">
        <f t="shared" si="60"/>
        <v>0</v>
      </c>
      <c r="AI98" s="165">
        <f t="shared" si="60"/>
        <v>0</v>
      </c>
      <c r="AJ98" s="165">
        <f t="shared" si="60"/>
        <v>0</v>
      </c>
      <c r="AK98" s="165">
        <f t="shared" si="60"/>
        <v>0</v>
      </c>
      <c r="AL98" s="165">
        <f t="shared" si="60"/>
        <v>0</v>
      </c>
      <c r="AM98" s="165"/>
      <c r="AN98" s="165"/>
      <c r="AO98" s="165">
        <f t="shared" si="60"/>
        <v>0</v>
      </c>
      <c r="AP98" s="165"/>
      <c r="AQ98" s="165"/>
      <c r="AR98" s="165"/>
      <c r="AS98" s="165"/>
      <c r="AT98" s="165"/>
      <c r="AU98" s="165"/>
      <c r="AV98" s="165"/>
      <c r="AW98" s="165"/>
      <c r="AX98" s="165"/>
      <c r="AY98" s="165"/>
      <c r="AZ98" s="165"/>
      <c r="BA98" s="165"/>
      <c r="BB98" s="165"/>
      <c r="BC98" s="167"/>
      <c r="BD98" s="167"/>
      <c r="BE98" s="167"/>
      <c r="BF98" s="167"/>
      <c r="BG98" s="167"/>
      <c r="BH98" s="167"/>
      <c r="BI98" s="167"/>
      <c r="BJ98" s="167"/>
      <c r="BK98" s="167">
        <f t="shared" ref="BK98:BK127" si="63">+SUM(N98:AA98)</f>
        <v>-14327806.520240018</v>
      </c>
      <c r="BL98" s="167">
        <f t="shared" ref="BL98:BL127" si="64">+AB98</f>
        <v>0</v>
      </c>
      <c r="BM98" s="167">
        <f t="shared" ref="BM98:BM127" si="65">+SUM(AC98:AO98)</f>
        <v>-183478.30499999999</v>
      </c>
      <c r="BN98" s="167">
        <f t="shared" ref="BN98:BN118" si="66">+SUM(AP98:BJ98)</f>
        <v>0</v>
      </c>
    </row>
    <row r="99" spans="1:66" s="171" customFormat="1" hidden="1" outlineLevel="2" x14ac:dyDescent="0.3">
      <c r="A99" s="169"/>
      <c r="B99" s="169"/>
      <c r="C99" s="169"/>
      <c r="D99" s="169"/>
      <c r="E99" s="169" t="s">
        <v>2711</v>
      </c>
      <c r="F99" s="164" t="s">
        <v>63</v>
      </c>
      <c r="G99" s="169">
        <v>297</v>
      </c>
      <c r="H99" s="169" t="s">
        <v>609</v>
      </c>
      <c r="I99" s="150">
        <f>-(I11+I18+I72)*0.015</f>
        <v>-1042819.1845570356</v>
      </c>
      <c r="J99" s="150">
        <f t="shared" si="43"/>
        <v>-1042819.1891307486</v>
      </c>
      <c r="K99" s="165">
        <f t="shared" si="49"/>
        <v>4.573713056743145E-3</v>
      </c>
      <c r="L99" s="150">
        <f t="shared" si="44"/>
        <v>-1042819.1891307486</v>
      </c>
      <c r="M99" s="173"/>
      <c r="N99" s="150">
        <f t="shared" ref="N99:AA99" si="67">-(N11+N18+N72)*0.015</f>
        <v>-214098.49606208378</v>
      </c>
      <c r="O99" s="150">
        <f t="shared" si="67"/>
        <v>-36269.351305322998</v>
      </c>
      <c r="P99" s="150">
        <f t="shared" si="67"/>
        <v>-12109.568628162497</v>
      </c>
      <c r="Q99" s="150">
        <f t="shared" si="67"/>
        <v>-34919.740326512321</v>
      </c>
      <c r="R99" s="150">
        <f t="shared" si="67"/>
        <v>-49623.321966598851</v>
      </c>
      <c r="S99" s="150">
        <f t="shared" si="67"/>
        <v>-48138.950374051368</v>
      </c>
      <c r="T99" s="150">
        <f t="shared" si="67"/>
        <v>-23513.910640592949</v>
      </c>
      <c r="U99" s="150">
        <f t="shared" si="67"/>
        <v>-200955.78981219578</v>
      </c>
      <c r="V99" s="150">
        <f t="shared" si="67"/>
        <v>-52406.768107337652</v>
      </c>
      <c r="W99" s="150">
        <f t="shared" si="67"/>
        <v>-46170.412811608825</v>
      </c>
      <c r="X99" s="150">
        <f t="shared" si="67"/>
        <v>-17607.272029012518</v>
      </c>
      <c r="Y99" s="150">
        <f t="shared" si="67"/>
        <v>-105595.17123737195</v>
      </c>
      <c r="Z99" s="150">
        <f t="shared" si="67"/>
        <v>-17932.130829897163</v>
      </c>
      <c r="AA99" s="150">
        <f t="shared" si="67"/>
        <v>0</v>
      </c>
      <c r="AB99" s="150">
        <f>-(AC11+AB18+AB72)*0.015</f>
        <v>0</v>
      </c>
      <c r="AC99" s="150">
        <f>+AC96*3</f>
        <v>-108478.30499999999</v>
      </c>
      <c r="AD99" s="150">
        <f>-(AD11+AD18)*0.015</f>
        <v>-75000</v>
      </c>
      <c r="AE99" s="150">
        <f>-(AE11+AE18)*0.015</f>
        <v>0</v>
      </c>
      <c r="AF99" s="150"/>
      <c r="AG99" s="150">
        <f t="shared" ref="AG99:AO99" si="68">-(AG11+AG18)*0.015</f>
        <v>0</v>
      </c>
      <c r="AH99" s="150">
        <f t="shared" si="68"/>
        <v>0</v>
      </c>
      <c r="AI99" s="150">
        <f t="shared" si="68"/>
        <v>0</v>
      </c>
      <c r="AJ99" s="150">
        <f t="shared" si="68"/>
        <v>0</v>
      </c>
      <c r="AK99" s="150">
        <f t="shared" si="68"/>
        <v>0</v>
      </c>
      <c r="AL99" s="150">
        <f t="shared" si="68"/>
        <v>0</v>
      </c>
      <c r="AM99" s="150"/>
      <c r="AN99" s="150"/>
      <c r="AO99" s="150">
        <f t="shared" si="68"/>
        <v>0</v>
      </c>
      <c r="AP99" s="150"/>
      <c r="AQ99" s="150"/>
      <c r="AR99" s="150"/>
      <c r="AS99" s="150"/>
      <c r="AT99" s="150"/>
      <c r="AU99" s="150"/>
      <c r="AV99" s="150"/>
      <c r="AW99" s="150"/>
      <c r="AX99" s="150"/>
      <c r="AY99" s="150"/>
      <c r="AZ99" s="150"/>
      <c r="BA99" s="150"/>
      <c r="BB99" s="150"/>
      <c r="BC99" s="170"/>
      <c r="BD99" s="170"/>
      <c r="BE99" s="170"/>
      <c r="BF99" s="170"/>
      <c r="BG99" s="170"/>
      <c r="BH99" s="170"/>
      <c r="BI99" s="170"/>
      <c r="BJ99" s="170"/>
      <c r="BK99" s="167">
        <f t="shared" si="63"/>
        <v>-859340.88413074869</v>
      </c>
      <c r="BL99" s="167">
        <f t="shared" si="64"/>
        <v>0</v>
      </c>
      <c r="BM99" s="167">
        <f t="shared" si="65"/>
        <v>-183478.30499999999</v>
      </c>
      <c r="BN99" s="167">
        <f t="shared" si="66"/>
        <v>0</v>
      </c>
    </row>
    <row r="100" spans="1:66" s="171" customFormat="1" hidden="1" outlineLevel="2" x14ac:dyDescent="0.3">
      <c r="A100" s="169"/>
      <c r="B100" s="169"/>
      <c r="C100" s="169"/>
      <c r="D100" s="169"/>
      <c r="E100" s="169" t="s">
        <v>2712</v>
      </c>
      <c r="F100" s="164" t="s">
        <v>63</v>
      </c>
      <c r="G100" s="169">
        <v>341</v>
      </c>
      <c r="H100" s="169" t="s">
        <v>692</v>
      </c>
      <c r="I100" s="150">
        <f>+I97*3</f>
        <v>-13468465.643904693</v>
      </c>
      <c r="J100" s="150">
        <f t="shared" si="43"/>
        <v>-13468465.636109266</v>
      </c>
      <c r="K100" s="165">
        <f t="shared" si="49"/>
        <v>-7.795426994562149E-3</v>
      </c>
      <c r="L100" s="150">
        <f t="shared" si="44"/>
        <v>-13468465.636109266</v>
      </c>
      <c r="M100" s="173"/>
      <c r="N100" s="150">
        <f>+N97*3</f>
        <v>-2996751.792650193</v>
      </c>
      <c r="O100" s="150">
        <f t="shared" ref="O100:AO100" si="69">+O97*3</f>
        <v>-848754.7085694673</v>
      </c>
      <c r="P100" s="150">
        <f t="shared" si="69"/>
        <v>-175318.05693772298</v>
      </c>
      <c r="Q100" s="150">
        <f t="shared" si="69"/>
        <v>-1047785.6100356168</v>
      </c>
      <c r="R100" s="150">
        <f t="shared" si="69"/>
        <v>-372484.69811899361</v>
      </c>
      <c r="S100" s="150">
        <f t="shared" si="69"/>
        <v>-942438.40199659625</v>
      </c>
      <c r="T100" s="150">
        <f t="shared" si="69"/>
        <v>-456961.50653723918</v>
      </c>
      <c r="U100" s="150">
        <f t="shared" si="69"/>
        <v>-951383.33666939428</v>
      </c>
      <c r="V100" s="150">
        <f t="shared" si="69"/>
        <v>-1460573.346729767</v>
      </c>
      <c r="W100" s="150">
        <f t="shared" si="69"/>
        <v>-1103002.4313870452</v>
      </c>
      <c r="X100" s="150">
        <f t="shared" si="69"/>
        <v>-646871.76350717805</v>
      </c>
      <c r="Y100" s="150">
        <f t="shared" si="69"/>
        <v>-1718065.1591334171</v>
      </c>
      <c r="Z100" s="150">
        <f t="shared" si="69"/>
        <v>-597000.48483663867</v>
      </c>
      <c r="AA100" s="150">
        <f t="shared" si="69"/>
        <v>-151074.33900000004</v>
      </c>
      <c r="AB100" s="150">
        <f t="shared" si="69"/>
        <v>0</v>
      </c>
      <c r="AC100" s="150">
        <f t="shared" si="69"/>
        <v>0</v>
      </c>
      <c r="AD100" s="150">
        <f t="shared" si="69"/>
        <v>0</v>
      </c>
      <c r="AE100" s="150">
        <f t="shared" si="69"/>
        <v>0</v>
      </c>
      <c r="AF100" s="150">
        <f t="shared" si="69"/>
        <v>0</v>
      </c>
      <c r="AG100" s="150">
        <f t="shared" si="69"/>
        <v>0</v>
      </c>
      <c r="AH100" s="150">
        <f t="shared" si="69"/>
        <v>0</v>
      </c>
      <c r="AI100" s="150">
        <f t="shared" si="69"/>
        <v>0</v>
      </c>
      <c r="AJ100" s="150">
        <f t="shared" si="69"/>
        <v>0</v>
      </c>
      <c r="AK100" s="150">
        <f t="shared" si="69"/>
        <v>0</v>
      </c>
      <c r="AL100" s="150">
        <f t="shared" si="69"/>
        <v>0</v>
      </c>
      <c r="AM100" s="150"/>
      <c r="AN100" s="150"/>
      <c r="AO100" s="150">
        <f t="shared" si="69"/>
        <v>0</v>
      </c>
      <c r="AP100" s="150"/>
      <c r="AQ100" s="150"/>
      <c r="AR100" s="150"/>
      <c r="AS100" s="150"/>
      <c r="AT100" s="150"/>
      <c r="AU100" s="150"/>
      <c r="AV100" s="150"/>
      <c r="AW100" s="150"/>
      <c r="AX100" s="150"/>
      <c r="AY100" s="150"/>
      <c r="AZ100" s="150"/>
      <c r="BA100" s="150"/>
      <c r="BB100" s="150"/>
      <c r="BC100" s="170"/>
      <c r="BD100" s="170"/>
      <c r="BE100" s="170"/>
      <c r="BF100" s="170"/>
      <c r="BG100" s="170"/>
      <c r="BH100" s="170"/>
      <c r="BI100" s="170"/>
      <c r="BJ100" s="170"/>
      <c r="BK100" s="167">
        <f t="shared" si="63"/>
        <v>-13468465.636109266</v>
      </c>
      <c r="BL100" s="167">
        <f t="shared" si="64"/>
        <v>0</v>
      </c>
      <c r="BM100" s="167">
        <f t="shared" si="65"/>
        <v>0</v>
      </c>
      <c r="BN100" s="167">
        <f t="shared" si="66"/>
        <v>0</v>
      </c>
    </row>
    <row r="101" spans="1:66" s="168" customFormat="1" hidden="1" outlineLevel="1" x14ac:dyDescent="0.3">
      <c r="A101" s="164">
        <v>13</v>
      </c>
      <c r="B101" s="164" t="s">
        <v>27</v>
      </c>
      <c r="C101" s="164" t="s">
        <v>63</v>
      </c>
      <c r="D101" s="164" t="s">
        <v>2824</v>
      </c>
      <c r="E101" s="164" t="str">
        <f>VLOOKUP(A101,'Bevétel 2a SZH 2023'!B:C,2,0)</f>
        <v>Karnál kiválósági visszahagyás +1,5 %</v>
      </c>
      <c r="F101" s="164" t="s">
        <v>2696</v>
      </c>
      <c r="G101" s="169">
        <v>1</v>
      </c>
      <c r="H101" s="182" t="s">
        <v>2669</v>
      </c>
      <c r="I101" s="165">
        <f>IFERROR(VLOOKUP($A101,'Bevétel 2a SZH 2023'!$B:$L,MATCH($I$1,'Bevétel 2a SZH 2023'!$B$1:$L$1,0),0), )</f>
        <v>14511284.828461727</v>
      </c>
      <c r="J101" s="150">
        <f t="shared" si="43"/>
        <v>14511285</v>
      </c>
      <c r="K101" s="165">
        <f t="shared" si="49"/>
        <v>-0.17153827287256718</v>
      </c>
      <c r="L101" s="150">
        <f t="shared" si="44"/>
        <v>14511285</v>
      </c>
      <c r="M101" s="166"/>
      <c r="N101" s="165"/>
      <c r="O101" s="165"/>
      <c r="P101" s="165"/>
      <c r="Q101" s="165"/>
      <c r="R101" s="165"/>
      <c r="S101" s="165"/>
      <c r="T101" s="165"/>
      <c r="U101" s="165"/>
      <c r="V101" s="165"/>
      <c r="W101" s="165"/>
      <c r="X101" s="165"/>
      <c r="Y101" s="165"/>
      <c r="Z101" s="165"/>
      <c r="AA101" s="165"/>
      <c r="AB101" s="165"/>
      <c r="AC101" s="165"/>
      <c r="AD101" s="165"/>
      <c r="AE101" s="165"/>
      <c r="AF101" s="165">
        <v>14511285</v>
      </c>
      <c r="AG101" s="165"/>
      <c r="AH101" s="165"/>
      <c r="AI101" s="165"/>
      <c r="AJ101" s="165"/>
      <c r="AK101" s="165"/>
      <c r="AL101" s="165"/>
      <c r="AM101" s="165"/>
      <c r="AN101" s="165"/>
      <c r="AO101" s="165"/>
      <c r="AP101" s="165"/>
      <c r="AQ101" s="165"/>
      <c r="AR101" s="165"/>
      <c r="AS101" s="165"/>
      <c r="AT101" s="165"/>
      <c r="AU101" s="165"/>
      <c r="AV101" s="165"/>
      <c r="AW101" s="165"/>
      <c r="AX101" s="165"/>
      <c r="AY101" s="165"/>
      <c r="AZ101" s="165"/>
      <c r="BA101" s="165"/>
      <c r="BB101" s="165"/>
      <c r="BC101" s="167"/>
      <c r="BD101" s="167"/>
      <c r="BE101" s="167"/>
      <c r="BF101" s="167"/>
      <c r="BG101" s="167"/>
      <c r="BH101" s="167"/>
      <c r="BI101" s="167"/>
      <c r="BJ101" s="167"/>
      <c r="BK101" s="167">
        <f t="shared" si="63"/>
        <v>0</v>
      </c>
      <c r="BL101" s="167">
        <f t="shared" si="64"/>
        <v>0</v>
      </c>
      <c r="BM101" s="167">
        <f t="shared" si="65"/>
        <v>14511285</v>
      </c>
      <c r="BN101" s="167">
        <f t="shared" si="66"/>
        <v>0</v>
      </c>
    </row>
    <row r="102" spans="1:66" s="171" customFormat="1" hidden="1" outlineLevel="1" x14ac:dyDescent="0.3">
      <c r="A102" s="164">
        <v>14</v>
      </c>
      <c r="B102" s="164" t="str">
        <f>+E102</f>
        <v>Belső átrendezés gyakorlatszervezés működésre</v>
      </c>
      <c r="C102" s="164" t="s">
        <v>63</v>
      </c>
      <c r="D102" s="164" t="s">
        <v>2825</v>
      </c>
      <c r="E102" s="164" t="str">
        <f>VLOOKUP(A102,'Bevétel 2a SZH 2023'!B:C,2,0)</f>
        <v>Belső átrendezés gyakorlatszervezés működésre</v>
      </c>
      <c r="F102" s="164" t="s">
        <v>2696</v>
      </c>
      <c r="G102" s="164">
        <v>346</v>
      </c>
      <c r="H102" s="169" t="s">
        <v>702</v>
      </c>
      <c r="I102" s="165">
        <f>IFERROR(VLOOKUP($A102,'Bevétel 2a SZH 2023'!$B:$L,MATCH($I$1,'Bevétel 2a SZH 2023'!$B$1:$L$1,0),0), )</f>
        <v>-9945198.5999999996</v>
      </c>
      <c r="J102" s="165">
        <f t="shared" si="43"/>
        <v>-9945198.5999999996</v>
      </c>
      <c r="K102" s="150">
        <f t="shared" si="49"/>
        <v>0</v>
      </c>
      <c r="L102" s="150">
        <f t="shared" si="44"/>
        <v>0</v>
      </c>
      <c r="M102" s="175">
        <v>3</v>
      </c>
      <c r="N102" s="150">
        <f>IFERROR(VLOOKUP($M102,'1 b felosztások'!$A:$AE,'1 b felosztások'!C$2,0)*$I102,0)</f>
        <v>-2223244.0556313992</v>
      </c>
      <c r="O102" s="150">
        <f>IFERROR(VLOOKUP($M102,'1 b felosztások'!$A:$AE,'1 b felosztások'!D$2,0)*$I102,0)</f>
        <v>-509139.86006825935</v>
      </c>
      <c r="P102" s="150">
        <f>IFERROR(VLOOKUP($M102,'1 b felosztások'!$A:$AE,'1 b felosztások'!E$2,0)*$I102,0)</f>
        <v>-101827.97201365187</v>
      </c>
      <c r="Q102" s="150">
        <f>IFERROR(VLOOKUP($M102,'1 b felosztások'!$A:$AE,'1 b felosztások'!F$2,0)*$I102,0)</f>
        <v>-695824.47542662115</v>
      </c>
      <c r="R102" s="150">
        <f>IFERROR(VLOOKUP($M102,'1 b felosztások'!$A:$AE,'1 b felosztások'!G$2,0)*$I102,0)</f>
        <v>-254569.93003412968</v>
      </c>
      <c r="S102" s="150">
        <f>IFERROR(VLOOKUP($M102,'1 b felosztások'!$A:$AE,'1 b felosztások'!H$2,0)*$I102,0)</f>
        <v>-678853.14675767918</v>
      </c>
      <c r="T102" s="150">
        <f>IFERROR(VLOOKUP($M102,'1 b felosztások'!$A:$AE,'1 b felosztások'!I$2,0)*$I102,0)</f>
        <v>-678853.14675767918</v>
      </c>
      <c r="U102" s="150">
        <f>IFERROR(VLOOKUP($M102,'1 b felosztások'!$A:$AE,'1 b felosztások'!J$2,0)*$I102,0)</f>
        <v>-967365.73412969278</v>
      </c>
      <c r="V102" s="150">
        <f>IFERROR(VLOOKUP($M102,'1 b felosztások'!$A:$AE,'1 b felosztások'!K$2,0)*$I102,0)</f>
        <v>-560053.84607508534</v>
      </c>
      <c r="W102" s="150">
        <f>IFERROR(VLOOKUP($M102,'1 b felosztások'!$A:$AE,'1 b felosztások'!L$2,0)*$I102,0)</f>
        <v>-543082.51740614336</v>
      </c>
      <c r="X102" s="150">
        <f>IFERROR(VLOOKUP($M102,'1 b felosztások'!$A:$AE,'1 b felosztások'!M$2,0)*$I102,0)</f>
        <v>-67885.314675767921</v>
      </c>
      <c r="Y102" s="150">
        <f>IFERROR(VLOOKUP($M102,'1 b felosztások'!$A:$AE,'1 b felosztások'!N$2,0)*$I102,0)</f>
        <v>-2359014.684982935</v>
      </c>
      <c r="Z102" s="150">
        <f>IFERROR(VLOOKUP($M102,'1 b felosztások'!$A:$AE,'1 b felosztások'!O$2,0)*$I102,0)</f>
        <v>-305483.91604095564</v>
      </c>
      <c r="AA102" s="150">
        <f>IFERROR(VLOOKUP($M102,'1 b felosztások'!$A:$AE,'1 b felosztások'!P$2,0)*$I102,0)</f>
        <v>0</v>
      </c>
      <c r="AB102" s="150">
        <f>IFERROR(VLOOKUP($M102,'1 b felosztások'!$A:$AE,'1 b felosztások'!Q$2,0)*$I102,0)</f>
        <v>0</v>
      </c>
      <c r="AC102" s="150"/>
      <c r="AD102" s="150"/>
      <c r="AE102" s="150"/>
      <c r="AF102" s="150"/>
      <c r="AG102" s="150"/>
      <c r="AH102" s="150"/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65">
        <f>-I102</f>
        <v>9945198.5999999996</v>
      </c>
      <c r="BC102" s="170"/>
      <c r="BD102" s="170"/>
      <c r="BE102" s="170"/>
      <c r="BF102" s="170"/>
      <c r="BG102" s="170"/>
      <c r="BH102" s="170"/>
      <c r="BI102" s="170"/>
      <c r="BJ102" s="170"/>
      <c r="BK102" s="167">
        <f t="shared" si="63"/>
        <v>-9945198.5999999996</v>
      </c>
      <c r="BL102" s="167">
        <f t="shared" si="64"/>
        <v>0</v>
      </c>
      <c r="BM102" s="167">
        <f t="shared" si="65"/>
        <v>0</v>
      </c>
      <c r="BN102" s="167">
        <f t="shared" si="66"/>
        <v>9945198.5999999996</v>
      </c>
    </row>
    <row r="103" spans="1:66" s="171" customFormat="1" hidden="1" outlineLevel="1" x14ac:dyDescent="0.3">
      <c r="A103" s="164">
        <v>15</v>
      </c>
      <c r="B103" s="164" t="str">
        <f t="shared" ref="B103:B105" si="70">+E103</f>
        <v>Belső átrendezés tanárképzés gyakorlatszervezésre</v>
      </c>
      <c r="C103" s="164" t="s">
        <v>63</v>
      </c>
      <c r="D103" s="164" t="s">
        <v>2825</v>
      </c>
      <c r="E103" s="164" t="str">
        <f>VLOOKUP(A103,'Bevétel 2a SZH 2023'!B:C,2,0)</f>
        <v>Belső átrendezés tanárképzés gyakorlatszervezésre</v>
      </c>
      <c r="F103" s="164" t="s">
        <v>2696</v>
      </c>
      <c r="G103" s="164">
        <v>346</v>
      </c>
      <c r="H103" s="169" t="s">
        <v>702</v>
      </c>
      <c r="I103" s="165">
        <f>IFERROR(VLOOKUP($A103,'Bevétel 2a SZH 2023'!$B:$L,MATCH($I$1,'Bevétel 2a SZH 2023'!$B$1:$L$1,0),0), )</f>
        <v>2965575</v>
      </c>
      <c r="J103" s="165">
        <f t="shared" ref="J103" si="71">SUM(N103:AO103)</f>
        <v>2965575</v>
      </c>
      <c r="K103" s="150">
        <f t="shared" ref="K103" si="72">+I103-J103</f>
        <v>0</v>
      </c>
      <c r="L103" s="150">
        <f t="shared" si="44"/>
        <v>0</v>
      </c>
      <c r="M103" s="175">
        <v>3</v>
      </c>
      <c r="N103" s="150">
        <f>IFERROR(VLOOKUP($M103,'1 b felosztások'!$A:$AE,'1 b felosztások'!C$2,0)*$I103,0)</f>
        <v>662952.77303754271</v>
      </c>
      <c r="O103" s="150">
        <f>IFERROR(VLOOKUP($M103,'1 b felosztások'!$A:$AE,'1 b felosztások'!D$2,0)*$I103,0)</f>
        <v>151821.24573378838</v>
      </c>
      <c r="P103" s="150">
        <f>IFERROR(VLOOKUP($M103,'1 b felosztások'!$A:$AE,'1 b felosztások'!E$2,0)*$I103,0)</f>
        <v>30364.249146757676</v>
      </c>
      <c r="Q103" s="150">
        <f>IFERROR(VLOOKUP($M103,'1 b felosztások'!$A:$AE,'1 b felosztások'!F$2,0)*$I103,0)</f>
        <v>207489.03583617747</v>
      </c>
      <c r="R103" s="150">
        <f>IFERROR(VLOOKUP($M103,'1 b felosztások'!$A:$AE,'1 b felosztások'!G$2,0)*$I103,0)</f>
        <v>75910.622866894191</v>
      </c>
      <c r="S103" s="150">
        <f>IFERROR(VLOOKUP($M103,'1 b felosztások'!$A:$AE,'1 b felosztások'!H$2,0)*$I103,0)</f>
        <v>202428.32764505121</v>
      </c>
      <c r="T103" s="150">
        <f>IFERROR(VLOOKUP($M103,'1 b felosztások'!$A:$AE,'1 b felosztások'!I$2,0)*$I103,0)</f>
        <v>202428.32764505121</v>
      </c>
      <c r="U103" s="150">
        <f>IFERROR(VLOOKUP($M103,'1 b felosztások'!$A:$AE,'1 b felosztások'!J$2,0)*$I103,0)</f>
        <v>288460.36689419794</v>
      </c>
      <c r="V103" s="150">
        <f>IFERROR(VLOOKUP($M103,'1 b felosztások'!$A:$AE,'1 b felosztások'!K$2,0)*$I103,0)</f>
        <v>167003.37030716724</v>
      </c>
      <c r="W103" s="150">
        <f>IFERROR(VLOOKUP($M103,'1 b felosztások'!$A:$AE,'1 b felosztások'!L$2,0)*$I103,0)</f>
        <v>161942.66211604097</v>
      </c>
      <c r="X103" s="150">
        <f>IFERROR(VLOOKUP($M103,'1 b felosztások'!$A:$AE,'1 b felosztások'!M$2,0)*$I103,0)</f>
        <v>20242.832764505121</v>
      </c>
      <c r="Y103" s="150">
        <f>IFERROR(VLOOKUP($M103,'1 b felosztások'!$A:$AE,'1 b felosztások'!N$2,0)*$I103,0)</f>
        <v>703438.43856655294</v>
      </c>
      <c r="Z103" s="150">
        <f>IFERROR(VLOOKUP($M103,'1 b felosztások'!$A:$AE,'1 b felosztások'!O$2,0)*$I103,0)</f>
        <v>91092.747440273029</v>
      </c>
      <c r="AA103" s="150">
        <f>IFERROR(VLOOKUP($M103,'1 b felosztások'!$A:$AE,'1 b felosztások'!P$2,0)*$I103,0)</f>
        <v>0</v>
      </c>
      <c r="AB103" s="150">
        <f>IFERROR(VLOOKUP($M103,'1 b felosztások'!$A:$AE,'1 b felosztások'!Q$2,0)*$I103,0)</f>
        <v>0</v>
      </c>
      <c r="AC103" s="150"/>
      <c r="AD103" s="150"/>
      <c r="AE103" s="150"/>
      <c r="AF103" s="150"/>
      <c r="AG103" s="150"/>
      <c r="AH103" s="150"/>
      <c r="AI103" s="150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  <c r="AX103" s="150"/>
      <c r="AY103" s="150"/>
      <c r="AZ103" s="150"/>
      <c r="BA103" s="150"/>
      <c r="BB103" s="165">
        <f>-I103</f>
        <v>-2965575</v>
      </c>
      <c r="BC103" s="170"/>
      <c r="BD103" s="170"/>
      <c r="BE103" s="170"/>
      <c r="BF103" s="170"/>
      <c r="BG103" s="170"/>
      <c r="BH103" s="170"/>
      <c r="BI103" s="170"/>
      <c r="BJ103" s="170"/>
      <c r="BK103" s="167">
        <f t="shared" si="63"/>
        <v>2965575</v>
      </c>
      <c r="BL103" s="167">
        <f t="shared" si="64"/>
        <v>0</v>
      </c>
      <c r="BM103" s="167">
        <f t="shared" si="65"/>
        <v>0</v>
      </c>
      <c r="BN103" s="167">
        <f t="shared" si="66"/>
        <v>-2965575</v>
      </c>
    </row>
    <row r="104" spans="1:66" s="775" customFormat="1" hidden="1" outlineLevel="1" x14ac:dyDescent="0.3">
      <c r="A104" s="770">
        <v>16</v>
      </c>
      <c r="B104" s="624" t="str">
        <f t="shared" si="70"/>
        <v>Kiválósági ösztöndíjhoz hozzájárulás (-7,808mFt maradvány, 2022/23 II. félév  és 2023/24 I. félév tanév becsült adatai alapján</v>
      </c>
      <c r="C104" s="770" t="s">
        <v>63</v>
      </c>
      <c r="D104" s="770" t="s">
        <v>2880</v>
      </c>
      <c r="E104" s="624" t="str">
        <f>VLOOKUP(A104,'Bevétel 2a SZH 2023'!B:C,2,0)</f>
        <v>Kiválósági ösztöndíjhoz hozzájárulás (-7,808mFt maradvány, 2022/23 II. félév  és 2023/24 I. félév tanév becsült adatai alapján</v>
      </c>
      <c r="F104" s="624" t="s">
        <v>2696</v>
      </c>
      <c r="G104" s="729">
        <v>344</v>
      </c>
      <c r="H104" s="624" t="s">
        <v>698</v>
      </c>
      <c r="I104" s="771">
        <v>-9644473</v>
      </c>
      <c r="J104" s="771">
        <f t="shared" si="43"/>
        <v>-9644473</v>
      </c>
      <c r="K104" s="772">
        <f t="shared" ref="K104" si="73">+I104-J104</f>
        <v>0</v>
      </c>
      <c r="L104" s="772">
        <f t="shared" si="44"/>
        <v>0</v>
      </c>
      <c r="M104" s="782">
        <v>6</v>
      </c>
      <c r="N104" s="772">
        <f>IFERROR(VLOOKUP($M104,'1 b felosztások'!$A:$AE,'1 b felosztások'!C$2,0)*$I104,0)</f>
        <v>-2952636.6524466751</v>
      </c>
      <c r="O104" s="772">
        <f>IFERROR(VLOOKUP($M104,'1 b felosztások'!$A:$AE,'1 b felosztások'!D$2,0)*$I104,0)</f>
        <v>-363029.09661229607</v>
      </c>
      <c r="P104" s="772">
        <f>IFERROR(VLOOKUP($M104,'1 b felosztások'!$A:$AE,'1 b felosztások'!E$2,0)*$I104,0)</f>
        <v>-72605.819322459225</v>
      </c>
      <c r="Q104" s="772">
        <f>IFERROR(VLOOKUP($M104,'1 b felosztások'!$A:$AE,'1 b felosztások'!F$2,0)*$I104,0)</f>
        <v>-496139.76537013799</v>
      </c>
      <c r="R104" s="772">
        <f>IFERROR(VLOOKUP($M104,'1 b felosztások'!$A:$AE,'1 b felosztások'!G$2,0)*$I104,0)</f>
        <v>-181514.54830614803</v>
      </c>
      <c r="S104" s="772">
        <f>IFERROR(VLOOKUP($M104,'1 b felosztások'!$A:$AE,'1 b felosztások'!H$2,0)*$I104,0)</f>
        <v>-484038.79548306152</v>
      </c>
      <c r="T104" s="772">
        <f>IFERROR(VLOOKUP($M104,'1 b felosztások'!$A:$AE,'1 b felosztások'!I$2,0)*$I104,0)</f>
        <v>-484038.79548306152</v>
      </c>
      <c r="U104" s="772">
        <f>IFERROR(VLOOKUP($M104,'1 b felosztások'!$A:$AE,'1 b felosztások'!J$2,0)*$I104,0)</f>
        <v>-689755.28356336267</v>
      </c>
      <c r="V104" s="772">
        <f>IFERROR(VLOOKUP($M104,'1 b felosztások'!$A:$AE,'1 b felosztások'!K$2,0)*$I104,0)</f>
        <v>-1101188.2597239648</v>
      </c>
      <c r="W104" s="772">
        <f>IFERROR(VLOOKUP($M104,'1 b felosztások'!$A:$AE,'1 b felosztások'!L$2,0)*$I104,0)</f>
        <v>-520341.70514429105</v>
      </c>
      <c r="X104" s="772">
        <f>IFERROR(VLOOKUP($M104,'1 b felosztások'!$A:$AE,'1 b felosztások'!M$2,0)*$I104,0)</f>
        <v>-96807.759096612295</v>
      </c>
      <c r="Y104" s="772">
        <f>IFERROR(VLOOKUP($M104,'1 b felosztások'!$A:$AE,'1 b felosztások'!N$2,0)*$I104,0)</f>
        <v>-1984559.061480552</v>
      </c>
      <c r="Z104" s="772">
        <f>IFERROR(VLOOKUP($M104,'1 b felosztások'!$A:$AE,'1 b felosztások'!O$2,0)*$I104,0)</f>
        <v>-217817.45796737768</v>
      </c>
      <c r="AA104" s="772">
        <f>IFERROR(VLOOKUP($M104,'1 b felosztások'!$A:$AE,'1 b felosztások'!P$2,0)*$I104,0)</f>
        <v>0</v>
      </c>
      <c r="AB104" s="772">
        <f>IFERROR(VLOOKUP($M104,'1 b felosztások'!$A:$AE,'1 b felosztások'!Q$2,0)*$I104,0)</f>
        <v>0</v>
      </c>
      <c r="AC104" s="772"/>
      <c r="AD104" s="772"/>
      <c r="AE104" s="772"/>
      <c r="AF104" s="772"/>
      <c r="AG104" s="772"/>
      <c r="AH104" s="772"/>
      <c r="AI104" s="772"/>
      <c r="AJ104" s="772"/>
      <c r="AK104" s="772"/>
      <c r="AL104" s="772"/>
      <c r="AM104" s="772"/>
      <c r="AN104" s="772"/>
      <c r="AO104" s="772"/>
      <c r="AP104" s="772"/>
      <c r="AQ104" s="772"/>
      <c r="AR104" s="772"/>
      <c r="AS104" s="772"/>
      <c r="AT104" s="772"/>
      <c r="AU104" s="772"/>
      <c r="AV104" s="772"/>
      <c r="AW104" s="772"/>
      <c r="AX104" s="772"/>
      <c r="AY104" s="772"/>
      <c r="AZ104" s="772"/>
      <c r="BA104" s="772"/>
      <c r="BB104" s="772"/>
      <c r="BC104" s="773"/>
      <c r="BD104" s="773"/>
      <c r="BE104" s="773"/>
      <c r="BF104" s="773"/>
      <c r="BG104" s="773"/>
      <c r="BH104" s="774">
        <f>-I104</f>
        <v>9644473</v>
      </c>
      <c r="BI104" s="774"/>
      <c r="BJ104" s="773"/>
      <c r="BK104" s="774">
        <f t="shared" si="63"/>
        <v>-9644473</v>
      </c>
      <c r="BL104" s="774">
        <f t="shared" si="64"/>
        <v>0</v>
      </c>
      <c r="BM104" s="774">
        <f t="shared" si="65"/>
        <v>0</v>
      </c>
      <c r="BN104" s="774">
        <f t="shared" si="66"/>
        <v>9644473</v>
      </c>
    </row>
    <row r="105" spans="1:66" s="168" customFormat="1" hidden="1" outlineLevel="1" x14ac:dyDescent="0.3">
      <c r="A105" s="164">
        <v>17</v>
      </c>
      <c r="B105" s="164" t="str">
        <f t="shared" si="70"/>
        <v>Szocho elvonás</v>
      </c>
      <c r="C105" s="164" t="s">
        <v>63</v>
      </c>
      <c r="D105" s="164" t="s">
        <v>2826</v>
      </c>
      <c r="E105" s="164" t="str">
        <f>VLOOKUP(A105,'Bevétel 2a SZH 2023'!B:C,2,0)</f>
        <v>Szocho elvonás</v>
      </c>
      <c r="F105" s="164" t="s">
        <v>2696</v>
      </c>
      <c r="G105" s="164">
        <v>335</v>
      </c>
      <c r="H105" s="169" t="s">
        <v>682</v>
      </c>
      <c r="I105" s="165">
        <f>IFERROR(VLOOKUP($A105,'Bevétel 2a SZH 2023'!$B:$L,MATCH($I$1,'Bevétel 2a SZH 2023'!$B$1:$L$1,0),0), )</f>
        <v>-42158065</v>
      </c>
      <c r="J105" s="165">
        <f t="shared" si="43"/>
        <v>-42158064.999999993</v>
      </c>
      <c r="K105" s="150">
        <f t="shared" ref="K105:K112" si="74">+I105-J105</f>
        <v>0</v>
      </c>
      <c r="L105" s="150">
        <f t="shared" si="44"/>
        <v>0</v>
      </c>
      <c r="M105" s="173">
        <v>11</v>
      </c>
      <c r="N105" s="150">
        <f>IFERROR(VLOOKUP($M105,'1 b felosztások'!$A:$AE,'1 b felosztások'!C$2,0)*$I105,0)</f>
        <v>-4820583.727661931</v>
      </c>
      <c r="O105" s="150">
        <f>IFERROR(VLOOKUP($M105,'1 b felosztások'!$A:$AE,'1 b felosztások'!D$2,0)*$I105,0)</f>
        <v>-5278215.0115203308</v>
      </c>
      <c r="P105" s="150">
        <f>IFERROR(VLOOKUP($M105,'1 b felosztások'!$A:$AE,'1 b felosztások'!E$2,0)*$I105,0)</f>
        <v>-910240.55914380308</v>
      </c>
      <c r="Q105" s="150">
        <f>IFERROR(VLOOKUP($M105,'1 b felosztások'!$A:$AE,'1 b felosztások'!F$2,0)*$I105,0)</f>
        <v>-4930199.807549784</v>
      </c>
      <c r="R105" s="150">
        <f>IFERROR(VLOOKUP($M105,'1 b felosztások'!$A:$AE,'1 b felosztások'!G$2,0)*$I105,0)</f>
        <v>-1799832.003928347</v>
      </c>
      <c r="S105" s="150">
        <f>IFERROR(VLOOKUP($M105,'1 b felosztások'!$A:$AE,'1 b felosztások'!H$2,0)*$I105,0)</f>
        <v>-3021754.0065953373</v>
      </c>
      <c r="T105" s="150">
        <f>IFERROR(VLOOKUP($M105,'1 b felosztások'!$A:$AE,'1 b felosztások'!I$2,0)*$I105,0)</f>
        <v>-1038182.2868817666</v>
      </c>
      <c r="U105" s="150">
        <f>IFERROR(VLOOKUP($M105,'1 b felosztások'!$A:$AE,'1 b felosztások'!J$2,0)*$I105,0)</f>
        <v>-2840179.1758570671</v>
      </c>
      <c r="V105" s="150">
        <f>IFERROR(VLOOKUP($M105,'1 b felosztások'!$A:$AE,'1 b felosztások'!K$2,0)*$I105,0)</f>
        <v>-3597714.5815596357</v>
      </c>
      <c r="W105" s="150">
        <f>IFERROR(VLOOKUP($M105,'1 b felosztások'!$A:$AE,'1 b felosztások'!L$2,0)*$I105,0)</f>
        <v>-2081067.2130609958</v>
      </c>
      <c r="X105" s="150">
        <f>IFERROR(VLOOKUP($M105,'1 b felosztások'!$A:$AE,'1 b felosztások'!M$2,0)*$I105,0)</f>
        <v>-1088063.6090523158</v>
      </c>
      <c r="Y105" s="150">
        <f>IFERROR(VLOOKUP($M105,'1 b felosztások'!$A:$AE,'1 b felosztások'!N$2,0)*$I105,0)</f>
        <v>-3557534.5011682711</v>
      </c>
      <c r="Z105" s="150">
        <f>IFERROR(VLOOKUP($M105,'1 b felosztások'!$A:$AE,'1 b felosztások'!O$2,0)*$I105,0)</f>
        <v>-2469546.7112738867</v>
      </c>
      <c r="AA105" s="150">
        <f>IFERROR(VLOOKUP($M105,'1 b felosztások'!$A:$AE,'1 b felosztások'!P$2,0)*$I105,0)</f>
        <v>-3529775.8021379118</v>
      </c>
      <c r="AB105" s="150">
        <f>IFERROR(VLOOKUP($M105,'1 b felosztások'!$A:$AE,'1 b felosztások'!Q$2,0)*$I105,0)</f>
        <v>0</v>
      </c>
      <c r="AC105" s="150">
        <f>IFERROR(VLOOKUP($M105,'1 b felosztások'!$A:$AE,'1 b felosztások'!R$2,0)*$I105,0)</f>
        <v>-1195176.0026086136</v>
      </c>
      <c r="AD105" s="150">
        <f>IFERROR(VLOOKUP($M105,'1 b felosztások'!$A:$AE,'1 b felosztások'!S$2,0)*$I105,0)</f>
        <v>0</v>
      </c>
      <c r="AE105" s="150">
        <f>IFERROR(VLOOKUP($M105,'1 b felosztások'!$A:$AE,'1 b felosztások'!T$2,0)*$I105,0)</f>
        <v>0</v>
      </c>
      <c r="AF105" s="150">
        <f>IFERROR(VLOOKUP($M105,'1 b felosztások'!$A:$AE,'1 b felosztások'!U$2,0)*$I105,0)</f>
        <v>0</v>
      </c>
      <c r="AG105" s="150">
        <f>IFERROR(VLOOKUP($M105,'1 b felosztások'!$A:$AE,'1 b felosztások'!V$2,0)*$I105,0)</f>
        <v>0</v>
      </c>
      <c r="AH105" s="150">
        <f>IFERROR(VLOOKUP($M105,'1 b felosztások'!$A:$AE,'1 b felosztások'!W$2,0)*$I105,0)</f>
        <v>0</v>
      </c>
      <c r="AI105" s="150">
        <f>IFERROR(VLOOKUP($M105,'1 b felosztások'!$A:$AE,'1 b felosztások'!X$2,0)*$I105,0)</f>
        <v>0</v>
      </c>
      <c r="AJ105" s="150">
        <f>IFERROR(VLOOKUP($M105,'1 b felosztások'!$A:$AE,'1 b felosztások'!Y$2,0)*$I105,0)</f>
        <v>0</v>
      </c>
      <c r="AK105" s="150">
        <f>IFERROR(VLOOKUP($M105,'1 b felosztások'!$A:$AE,'1 b felosztások'!Z$2,0)*$I105,0)</f>
        <v>0</v>
      </c>
      <c r="AL105" s="150">
        <f>IFERROR(VLOOKUP($M105,'1 b felosztások'!$A:$AE,'1 b felosztások'!AA$2,0)*$I105,0)</f>
        <v>0</v>
      </c>
      <c r="AM105" s="150">
        <f>IFERROR(VLOOKUP($M105,'1 b felosztások'!$A:$AE,'1 b felosztások'!AB$2,0)*$I105,0)</f>
        <v>0</v>
      </c>
      <c r="AN105" s="150">
        <f>IFERROR(VLOOKUP($M105,'1 b felosztások'!$A:$AE,'1 b felosztások'!AC$2,0)*$I105,0)</f>
        <v>0</v>
      </c>
      <c r="AO105" s="150">
        <f>IFERROR(VLOOKUP($M105,'1 b felosztások'!$A:$AE,'1 b felosztások'!AD$2,0)*$I105,0)</f>
        <v>0</v>
      </c>
      <c r="AP105" s="165"/>
      <c r="AQ105" s="165"/>
      <c r="AR105" s="165"/>
      <c r="AS105" s="165">
        <f>-I105</f>
        <v>42158065</v>
      </c>
      <c r="AT105" s="165"/>
      <c r="AU105" s="165"/>
      <c r="AV105" s="165"/>
      <c r="AW105" s="165"/>
      <c r="AX105" s="165"/>
      <c r="AY105" s="165"/>
      <c r="AZ105" s="165"/>
      <c r="BA105" s="165"/>
      <c r="BB105" s="165"/>
      <c r="BC105" s="167"/>
      <c r="BD105" s="167"/>
      <c r="BE105" s="167"/>
      <c r="BF105" s="167"/>
      <c r="BG105" s="167"/>
      <c r="BH105" s="167"/>
      <c r="BI105" s="167"/>
      <c r="BJ105" s="167"/>
      <c r="BK105" s="167">
        <f t="shared" si="63"/>
        <v>-40962888.99739138</v>
      </c>
      <c r="BL105" s="167">
        <f t="shared" si="64"/>
        <v>0</v>
      </c>
      <c r="BM105" s="167">
        <f t="shared" si="65"/>
        <v>-1195176.0026086136</v>
      </c>
      <c r="BN105" s="167">
        <f t="shared" si="66"/>
        <v>42158065</v>
      </c>
    </row>
    <row r="106" spans="1:66" s="168" customFormat="1" hidden="1" outlineLevel="1" collapsed="1" x14ac:dyDescent="0.3">
      <c r="A106" s="164" t="s">
        <v>2676</v>
      </c>
      <c r="B106" s="164" t="s">
        <v>2679</v>
      </c>
      <c r="C106" s="164" t="s">
        <v>63</v>
      </c>
      <c r="D106" s="164" t="s">
        <v>2827</v>
      </c>
      <c r="E106" s="164" t="str">
        <f>VLOOKUP(A106,'Bevétel 2a SZH 2023'!B:C,2,0)</f>
        <v>Belföldi és külföldi folyóiratra átrendezés</v>
      </c>
      <c r="F106" s="164" t="s">
        <v>2696</v>
      </c>
      <c r="G106" s="169"/>
      <c r="H106" s="164" t="s">
        <v>2617</v>
      </c>
      <c r="I106" s="165">
        <f>IFERROR(VLOOKUP($A106,'Bevétel 2a SZH 2023'!$B:$L,MATCH($I$1,'Bevétel 2a SZH 2023'!$B$1:$L$1,0),0), )</f>
        <v>0</v>
      </c>
      <c r="J106" s="165">
        <f t="shared" si="43"/>
        <v>0</v>
      </c>
      <c r="K106" s="150">
        <f t="shared" si="74"/>
        <v>0</v>
      </c>
      <c r="L106" s="150">
        <f t="shared" si="44"/>
        <v>0</v>
      </c>
      <c r="M106" s="166"/>
      <c r="N106" s="165">
        <f t="shared" ref="N106:AA106" si="75">+N107+N110</f>
        <v>0</v>
      </c>
      <c r="O106" s="165">
        <f t="shared" ref="O106:Z106" si="76">+O107+O110</f>
        <v>0</v>
      </c>
      <c r="P106" s="165">
        <f t="shared" si="76"/>
        <v>0</v>
      </c>
      <c r="Q106" s="165">
        <f t="shared" si="76"/>
        <v>0</v>
      </c>
      <c r="R106" s="165">
        <f t="shared" si="76"/>
        <v>0</v>
      </c>
      <c r="S106" s="165">
        <f t="shared" si="76"/>
        <v>0</v>
      </c>
      <c r="T106" s="165">
        <f t="shared" si="76"/>
        <v>0</v>
      </c>
      <c r="U106" s="165">
        <f t="shared" si="76"/>
        <v>0</v>
      </c>
      <c r="V106" s="165">
        <f t="shared" si="76"/>
        <v>0</v>
      </c>
      <c r="W106" s="165">
        <f t="shared" si="76"/>
        <v>0</v>
      </c>
      <c r="X106" s="165">
        <f t="shared" si="76"/>
        <v>0</v>
      </c>
      <c r="Y106" s="165">
        <f t="shared" si="76"/>
        <v>0</v>
      </c>
      <c r="Z106" s="165">
        <f t="shared" si="76"/>
        <v>0</v>
      </c>
      <c r="AA106" s="165">
        <f t="shared" si="75"/>
        <v>0</v>
      </c>
      <c r="AB106" s="165">
        <f t="shared" ref="AB106" si="77">+AB107+AB110</f>
        <v>0</v>
      </c>
      <c r="AC106" s="165"/>
      <c r="AD106" s="165"/>
      <c r="AE106" s="165"/>
      <c r="AF106" s="165"/>
      <c r="AG106" s="165"/>
      <c r="AH106" s="165"/>
      <c r="AI106" s="165"/>
      <c r="AJ106" s="165"/>
      <c r="AK106" s="165"/>
      <c r="AL106" s="165"/>
      <c r="AM106" s="165"/>
      <c r="AN106" s="165"/>
      <c r="AO106" s="165"/>
      <c r="AP106" s="165"/>
      <c r="AQ106" s="165"/>
      <c r="AR106" s="165"/>
      <c r="AS106" s="165"/>
      <c r="AT106" s="165"/>
      <c r="AU106" s="165"/>
      <c r="AV106" s="165"/>
      <c r="AW106" s="165">
        <f>+AW107+AW110</f>
        <v>0</v>
      </c>
      <c r="AX106" s="165">
        <f>+AX107+AX110</f>
        <v>0</v>
      </c>
      <c r="AY106" s="165"/>
      <c r="AZ106" s="165"/>
      <c r="BA106" s="165"/>
      <c r="BB106" s="165"/>
      <c r="BC106" s="167"/>
      <c r="BD106" s="167"/>
      <c r="BE106" s="167"/>
      <c r="BF106" s="167"/>
      <c r="BG106" s="167"/>
      <c r="BH106" s="167"/>
      <c r="BI106" s="167"/>
      <c r="BJ106" s="167"/>
      <c r="BK106" s="167">
        <f t="shared" si="63"/>
        <v>0</v>
      </c>
      <c r="BL106" s="167">
        <f t="shared" si="64"/>
        <v>0</v>
      </c>
      <c r="BM106" s="167">
        <f t="shared" si="65"/>
        <v>0</v>
      </c>
      <c r="BN106" s="167">
        <f t="shared" si="66"/>
        <v>0</v>
      </c>
    </row>
    <row r="107" spans="1:66" s="168" customFormat="1" hidden="1" outlineLevel="2" x14ac:dyDescent="0.3">
      <c r="A107" s="164"/>
      <c r="B107" s="164"/>
      <c r="C107" s="164"/>
      <c r="D107" s="164"/>
      <c r="E107" s="164" t="s">
        <v>102</v>
      </c>
      <c r="F107" s="164"/>
      <c r="G107" s="169"/>
      <c r="H107" s="164" t="s">
        <v>2617</v>
      </c>
      <c r="I107" s="165">
        <f>-IFERROR(VLOOKUP($I$1,'12.c - folyórat'!$A:$B,2,0),0)</f>
        <v>0</v>
      </c>
      <c r="J107" s="165">
        <f t="shared" si="43"/>
        <v>0</v>
      </c>
      <c r="K107" s="150">
        <f t="shared" si="74"/>
        <v>0</v>
      </c>
      <c r="L107" s="150">
        <f t="shared" si="44"/>
        <v>0</v>
      </c>
      <c r="M107" s="166"/>
      <c r="N107" s="165">
        <f>SUM(N108:N109)</f>
        <v>0</v>
      </c>
      <c r="O107" s="165">
        <f>SUM(O108:O109)</f>
        <v>0</v>
      </c>
      <c r="P107" s="165">
        <f t="shared" ref="P107:Y107" si="78">SUM(P108:P109)</f>
        <v>0</v>
      </c>
      <c r="Q107" s="165">
        <f t="shared" si="78"/>
        <v>0</v>
      </c>
      <c r="R107" s="165">
        <f t="shared" si="78"/>
        <v>0</v>
      </c>
      <c r="S107" s="165">
        <f t="shared" si="78"/>
        <v>0</v>
      </c>
      <c r="T107" s="165">
        <f t="shared" si="78"/>
        <v>0</v>
      </c>
      <c r="U107" s="165">
        <f t="shared" si="78"/>
        <v>0</v>
      </c>
      <c r="V107" s="165">
        <f t="shared" si="78"/>
        <v>0</v>
      </c>
      <c r="W107" s="165">
        <f t="shared" si="78"/>
        <v>0</v>
      </c>
      <c r="X107" s="165">
        <f t="shared" si="78"/>
        <v>0</v>
      </c>
      <c r="Y107" s="165">
        <f t="shared" si="78"/>
        <v>0</v>
      </c>
      <c r="Z107" s="165">
        <f t="shared" ref="Z107:AA107" si="79">SUM(Z108:Z109)</f>
        <v>0</v>
      </c>
      <c r="AA107" s="165">
        <f t="shared" si="79"/>
        <v>0</v>
      </c>
      <c r="AB107" s="165">
        <f t="shared" ref="AB107" si="80">SUM(AB108:AB109)</f>
        <v>0</v>
      </c>
      <c r="AC107" s="165"/>
      <c r="AD107" s="165"/>
      <c r="AE107" s="165"/>
      <c r="AF107" s="165"/>
      <c r="AG107" s="165"/>
      <c r="AH107" s="165"/>
      <c r="AI107" s="165"/>
      <c r="AJ107" s="165"/>
      <c r="AK107" s="165"/>
      <c r="AL107" s="165"/>
      <c r="AM107" s="165"/>
      <c r="AN107" s="165"/>
      <c r="AO107" s="165"/>
      <c r="AP107" s="165"/>
      <c r="AQ107" s="165"/>
      <c r="AR107" s="165"/>
      <c r="AS107" s="165"/>
      <c r="AT107" s="165"/>
      <c r="AU107" s="165"/>
      <c r="AV107" s="165"/>
      <c r="AW107" s="165">
        <f>SUM(AW108:AW109)</f>
        <v>0</v>
      </c>
      <c r="AX107" s="165"/>
      <c r="AY107" s="165"/>
      <c r="AZ107" s="165"/>
      <c r="BA107" s="165"/>
      <c r="BB107" s="165"/>
      <c r="BC107" s="167"/>
      <c r="BD107" s="167"/>
      <c r="BE107" s="167"/>
      <c r="BF107" s="167"/>
      <c r="BG107" s="167"/>
      <c r="BH107" s="167"/>
      <c r="BI107" s="167"/>
      <c r="BJ107" s="167"/>
      <c r="BK107" s="167">
        <f t="shared" si="63"/>
        <v>0</v>
      </c>
      <c r="BL107" s="167">
        <f t="shared" si="64"/>
        <v>0</v>
      </c>
      <c r="BM107" s="167">
        <f t="shared" si="65"/>
        <v>0</v>
      </c>
      <c r="BN107" s="167">
        <f t="shared" si="66"/>
        <v>0</v>
      </c>
    </row>
    <row r="108" spans="1:66" s="171" customFormat="1" hidden="1" outlineLevel="2" x14ac:dyDescent="0.3">
      <c r="A108" s="169"/>
      <c r="B108" s="169"/>
      <c r="C108" s="169"/>
      <c r="D108" s="169"/>
      <c r="E108" s="169" t="s">
        <v>3281</v>
      </c>
      <c r="F108" s="169" t="s">
        <v>63</v>
      </c>
      <c r="G108" s="169">
        <v>293</v>
      </c>
      <c r="H108" s="169" t="s">
        <v>602</v>
      </c>
      <c r="I108" s="150"/>
      <c r="J108" s="165">
        <f t="shared" si="43"/>
        <v>0</v>
      </c>
      <c r="K108" s="150">
        <f t="shared" si="74"/>
        <v>0</v>
      </c>
      <c r="L108" s="150">
        <f t="shared" si="44"/>
        <v>0</v>
      </c>
      <c r="M108" s="175">
        <v>3</v>
      </c>
      <c r="N108" s="150">
        <f>IFERROR(VLOOKUP($M108,'1 b felosztások'!$A:$E,'1 b felosztások'!C$2,0)*$I108,0)</f>
        <v>0</v>
      </c>
      <c r="O108" s="150">
        <f>IFERROR(VLOOKUP($M108,'1 b felosztások'!$A:$E,'1 b felosztások'!D$2,0)*$I108,0)</f>
        <v>0</v>
      </c>
      <c r="P108" s="150">
        <f>IFERROR(VLOOKUP($M108,'1 b felosztások'!$A:$E,'1 b felosztások'!E$2,0)*$I108,0)</f>
        <v>0</v>
      </c>
      <c r="Q108" s="150">
        <f>IFERROR(VLOOKUP($M108,'1 b felosztások'!$A:$E,'1 b felosztások'!F$2,0)*$I108,0)</f>
        <v>0</v>
      </c>
      <c r="R108" s="150">
        <f>IFERROR(VLOOKUP($M108,'1 b felosztások'!$A:$E,'1 b felosztások'!G$2,0)*$I108,0)</f>
        <v>0</v>
      </c>
      <c r="S108" s="150">
        <f>IFERROR(VLOOKUP($M108,'1 b felosztások'!$A:$E,'1 b felosztások'!H$2,0)*$I108,0)</f>
        <v>0</v>
      </c>
      <c r="T108" s="150">
        <f>IFERROR(VLOOKUP($M108,'1 b felosztások'!$A:$E,'1 b felosztások'!I$2,0)*$I108,0)</f>
        <v>0</v>
      </c>
      <c r="U108" s="150">
        <f>IFERROR(VLOOKUP($M108,'1 b felosztások'!$A:$E,'1 b felosztások'!J$2,0)*$I108,0)</f>
        <v>0</v>
      </c>
      <c r="V108" s="150">
        <f>IFERROR(VLOOKUP($M108,'1 b felosztások'!$A:$E,'1 b felosztások'!K$2,0)*$I108,0)</f>
        <v>0</v>
      </c>
      <c r="W108" s="150">
        <f>IFERROR(VLOOKUP($M108,'1 b felosztások'!$A:$E,'1 b felosztások'!L$2,0)*$I108,0)</f>
        <v>0</v>
      </c>
      <c r="X108" s="150">
        <f>IFERROR(VLOOKUP($M108,'1 b felosztások'!$A:$E,'1 b felosztások'!M$2,0)*$I108,0)</f>
        <v>0</v>
      </c>
      <c r="Y108" s="150">
        <f>IFERROR(VLOOKUP($M108,'1 b felosztások'!$A:$E,'1 b felosztások'!N$2,0)*$I108,0)</f>
        <v>0</v>
      </c>
      <c r="Z108" s="150">
        <f>IFERROR(VLOOKUP($M108,'1 b felosztások'!$A:$E,'1 b felosztások'!C$2,0)*$I108,0)</f>
        <v>0</v>
      </c>
      <c r="AA108" s="150">
        <f>IFERROR(VLOOKUP($M108,'1 b felosztások'!$A:$E,'1 b felosztások'!D$2,0)*$I108,0)</f>
        <v>0</v>
      </c>
      <c r="AB108" s="150">
        <f>IFERROR(VLOOKUP($M108,'1 b felosztások'!$A:$E,'1 b felosztások'!E$2,0)*$I108,0)</f>
        <v>0</v>
      </c>
      <c r="AC108" s="150"/>
      <c r="AD108" s="150"/>
      <c r="AE108" s="150"/>
      <c r="AF108" s="150"/>
      <c r="AG108" s="150"/>
      <c r="AH108" s="150"/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>
        <f>-I108</f>
        <v>0</v>
      </c>
      <c r="AX108" s="150"/>
      <c r="AY108" s="150"/>
      <c r="AZ108" s="150"/>
      <c r="BA108" s="150"/>
      <c r="BB108" s="150"/>
      <c r="BC108" s="170"/>
      <c r="BD108" s="170"/>
      <c r="BE108" s="170"/>
      <c r="BF108" s="170"/>
      <c r="BG108" s="170"/>
      <c r="BH108" s="170"/>
      <c r="BI108" s="170"/>
      <c r="BJ108" s="170"/>
      <c r="BK108" s="167">
        <f t="shared" si="63"/>
        <v>0</v>
      </c>
      <c r="BL108" s="167">
        <f t="shared" si="64"/>
        <v>0</v>
      </c>
      <c r="BM108" s="167">
        <f t="shared" si="65"/>
        <v>0</v>
      </c>
      <c r="BN108" s="167">
        <f t="shared" si="66"/>
        <v>0</v>
      </c>
    </row>
    <row r="109" spans="1:66" s="171" customFormat="1" hidden="1" outlineLevel="2" x14ac:dyDescent="0.3">
      <c r="A109" s="169"/>
      <c r="B109" s="169"/>
      <c r="C109" s="169"/>
      <c r="D109" s="169"/>
      <c r="E109" s="169" t="s">
        <v>3282</v>
      </c>
      <c r="F109" s="169" t="s">
        <v>63</v>
      </c>
      <c r="G109" s="169">
        <v>340</v>
      </c>
      <c r="H109" s="169" t="s">
        <v>690</v>
      </c>
      <c r="I109" s="150">
        <f>I107-I108</f>
        <v>0</v>
      </c>
      <c r="J109" s="165">
        <f t="shared" si="43"/>
        <v>0</v>
      </c>
      <c r="K109" s="150">
        <f t="shared" si="74"/>
        <v>0</v>
      </c>
      <c r="L109" s="150">
        <f t="shared" si="44"/>
        <v>0</v>
      </c>
      <c r="M109" s="175">
        <v>3</v>
      </c>
      <c r="N109" s="150">
        <f>IFERROR(VLOOKUP($M109,'1 b felosztások'!$A:$E,'1 b felosztások'!C$2,0)*$I109,0)</f>
        <v>0</v>
      </c>
      <c r="O109" s="150">
        <f>IFERROR(VLOOKUP($M109,'1 b felosztások'!$A:$E,'1 b felosztások'!D$2,0)*$I109,0)</f>
        <v>0</v>
      </c>
      <c r="P109" s="150">
        <f>IFERROR(VLOOKUP($M109,'1 b felosztások'!$A:$E,'1 b felosztások'!E$2,0)*$I109,0)</f>
        <v>0</v>
      </c>
      <c r="Q109" s="150">
        <f>IFERROR(VLOOKUP($M109,'1 b felosztások'!$A:$E,'1 b felosztások'!F$2,0)*$I109,0)</f>
        <v>0</v>
      </c>
      <c r="R109" s="150">
        <f>IFERROR(VLOOKUP($M109,'1 b felosztások'!$A:$E,'1 b felosztások'!G$2,0)*$I109,0)</f>
        <v>0</v>
      </c>
      <c r="S109" s="150">
        <f>IFERROR(VLOOKUP($M109,'1 b felosztások'!$A:$E,'1 b felosztások'!H$2,0)*$I109,0)</f>
        <v>0</v>
      </c>
      <c r="T109" s="150">
        <f>IFERROR(VLOOKUP($M109,'1 b felosztások'!$A:$E,'1 b felosztások'!I$2,0)*$I109,0)</f>
        <v>0</v>
      </c>
      <c r="U109" s="150">
        <f>IFERROR(VLOOKUP($M109,'1 b felosztások'!$A:$E,'1 b felosztások'!J$2,0)*$I109,0)</f>
        <v>0</v>
      </c>
      <c r="V109" s="150">
        <f>IFERROR(VLOOKUP($M109,'1 b felosztások'!$A:$E,'1 b felosztások'!K$2,0)*$I109,0)</f>
        <v>0</v>
      </c>
      <c r="W109" s="150">
        <f>IFERROR(VLOOKUP($M109,'1 b felosztások'!$A:$E,'1 b felosztások'!L$2,0)*$I109,0)</f>
        <v>0</v>
      </c>
      <c r="X109" s="150">
        <f>IFERROR(VLOOKUP($M109,'1 b felosztások'!$A:$E,'1 b felosztások'!M$2,0)*$I109,0)</f>
        <v>0</v>
      </c>
      <c r="Y109" s="150">
        <f>IFERROR(VLOOKUP($M109,'1 b felosztások'!$A:$E,'1 b felosztások'!N$2,0)*$I109,0)</f>
        <v>0</v>
      </c>
      <c r="Z109" s="150">
        <f>IFERROR(VLOOKUP($M109,'1 b felosztások'!$A:$E,'1 b felosztások'!C$2,0)*$I109,0)</f>
        <v>0</v>
      </c>
      <c r="AA109" s="150">
        <f>IFERROR(VLOOKUP($M109,'1 b felosztások'!$A:$E,'1 b felosztások'!D$2,0)*$I109,0)</f>
        <v>0</v>
      </c>
      <c r="AB109" s="150">
        <f>IFERROR(VLOOKUP($M109,'1 b felosztások'!$A:$E,'1 b felosztások'!E$2,0)*$I109,0)</f>
        <v>0</v>
      </c>
      <c r="AC109" s="150"/>
      <c r="AD109" s="150"/>
      <c r="AE109" s="150"/>
      <c r="AF109" s="150"/>
      <c r="AG109" s="150"/>
      <c r="AH109" s="150"/>
      <c r="AI109" s="150"/>
      <c r="AJ109" s="150"/>
      <c r="AK109" s="150"/>
      <c r="AL109" s="150"/>
      <c r="AM109" s="150"/>
      <c r="AN109" s="150"/>
      <c r="AO109" s="150"/>
      <c r="AP109" s="150"/>
      <c r="AQ109" s="150"/>
      <c r="AR109" s="150"/>
      <c r="AS109" s="150"/>
      <c r="AT109" s="150"/>
      <c r="AU109" s="150"/>
      <c r="AV109" s="150"/>
      <c r="AW109" s="150">
        <f>-I109</f>
        <v>0</v>
      </c>
      <c r="AX109" s="150"/>
      <c r="AY109" s="150"/>
      <c r="AZ109" s="150"/>
      <c r="BA109" s="150"/>
      <c r="BB109" s="150"/>
      <c r="BC109" s="170"/>
      <c r="BD109" s="170"/>
      <c r="BE109" s="170"/>
      <c r="BF109" s="170"/>
      <c r="BG109" s="170"/>
      <c r="BH109" s="170"/>
      <c r="BI109" s="170"/>
      <c r="BJ109" s="170"/>
      <c r="BK109" s="167">
        <f t="shared" si="63"/>
        <v>0</v>
      </c>
      <c r="BL109" s="167">
        <f t="shared" si="64"/>
        <v>0</v>
      </c>
      <c r="BM109" s="167">
        <f t="shared" si="65"/>
        <v>0</v>
      </c>
      <c r="BN109" s="167">
        <f t="shared" si="66"/>
        <v>0</v>
      </c>
    </row>
    <row r="110" spans="1:66" s="168" customFormat="1" hidden="1" outlineLevel="2" x14ac:dyDescent="0.3">
      <c r="A110" s="164"/>
      <c r="B110" s="164"/>
      <c r="C110" s="164"/>
      <c r="D110" s="164"/>
      <c r="E110" s="164" t="s">
        <v>103</v>
      </c>
      <c r="F110" s="164"/>
      <c r="G110" s="169"/>
      <c r="H110" s="164" t="s">
        <v>2617</v>
      </c>
      <c r="I110" s="165">
        <f>-IFERROR(VLOOKUP($I$1,'12.c - folyórat'!$D:$G,4,0),0)</f>
        <v>0</v>
      </c>
      <c r="J110" s="165">
        <f t="shared" si="43"/>
        <v>0</v>
      </c>
      <c r="K110" s="150">
        <f t="shared" si="74"/>
        <v>0</v>
      </c>
      <c r="L110" s="150">
        <f t="shared" si="44"/>
        <v>0</v>
      </c>
      <c r="M110" s="166"/>
      <c r="N110" s="165">
        <f>SUM(N111:N112)</f>
        <v>0</v>
      </c>
      <c r="O110" s="165">
        <f>SUM(O111:O112)</f>
        <v>0</v>
      </c>
      <c r="P110" s="165">
        <f t="shared" ref="P110:Y110" si="81">SUM(P111:P112)</f>
        <v>0</v>
      </c>
      <c r="Q110" s="165">
        <f t="shared" si="81"/>
        <v>0</v>
      </c>
      <c r="R110" s="165">
        <f t="shared" si="81"/>
        <v>0</v>
      </c>
      <c r="S110" s="165">
        <f t="shared" si="81"/>
        <v>0</v>
      </c>
      <c r="T110" s="165">
        <f t="shared" si="81"/>
        <v>0</v>
      </c>
      <c r="U110" s="165">
        <f t="shared" si="81"/>
        <v>0</v>
      </c>
      <c r="V110" s="165">
        <f t="shared" si="81"/>
        <v>0</v>
      </c>
      <c r="W110" s="165">
        <f t="shared" si="81"/>
        <v>0</v>
      </c>
      <c r="X110" s="165">
        <f t="shared" si="81"/>
        <v>0</v>
      </c>
      <c r="Y110" s="165">
        <f t="shared" si="81"/>
        <v>0</v>
      </c>
      <c r="Z110" s="165">
        <f t="shared" ref="Z110" si="82">SUM(Z111:Z112)</f>
        <v>0</v>
      </c>
      <c r="AA110" s="165">
        <f t="shared" ref="AA110:AB110" si="83">SUM(AA111:AA112)</f>
        <v>0</v>
      </c>
      <c r="AB110" s="165">
        <f t="shared" si="83"/>
        <v>0</v>
      </c>
      <c r="AC110" s="165"/>
      <c r="AD110" s="165"/>
      <c r="AE110" s="165"/>
      <c r="AF110" s="165"/>
      <c r="AG110" s="165"/>
      <c r="AH110" s="165"/>
      <c r="AI110" s="165"/>
      <c r="AJ110" s="165"/>
      <c r="AK110" s="165"/>
      <c r="AL110" s="165"/>
      <c r="AM110" s="165"/>
      <c r="AN110" s="165"/>
      <c r="AO110" s="165"/>
      <c r="AP110" s="165"/>
      <c r="AQ110" s="165"/>
      <c r="AR110" s="165"/>
      <c r="AS110" s="165"/>
      <c r="AT110" s="165"/>
      <c r="AU110" s="165"/>
      <c r="AV110" s="165"/>
      <c r="AW110" s="165"/>
      <c r="AX110" s="165">
        <f>SUM(AX111:AX112)</f>
        <v>0</v>
      </c>
      <c r="AY110" s="165"/>
      <c r="AZ110" s="165"/>
      <c r="BA110" s="165"/>
      <c r="BB110" s="165"/>
      <c r="BC110" s="167"/>
      <c r="BD110" s="167"/>
      <c r="BE110" s="167"/>
      <c r="BF110" s="167"/>
      <c r="BG110" s="167"/>
      <c r="BH110" s="167"/>
      <c r="BI110" s="167"/>
      <c r="BJ110" s="167"/>
      <c r="BK110" s="167">
        <f t="shared" si="63"/>
        <v>0</v>
      </c>
      <c r="BL110" s="167">
        <f t="shared" si="64"/>
        <v>0</v>
      </c>
      <c r="BM110" s="167">
        <f t="shared" si="65"/>
        <v>0</v>
      </c>
      <c r="BN110" s="167">
        <f t="shared" si="66"/>
        <v>0</v>
      </c>
    </row>
    <row r="111" spans="1:66" s="171" customFormat="1" hidden="1" outlineLevel="2" x14ac:dyDescent="0.3">
      <c r="A111" s="169"/>
      <c r="B111" s="169"/>
      <c r="C111" s="169"/>
      <c r="D111" s="169"/>
      <c r="E111" s="169" t="s">
        <v>3281</v>
      </c>
      <c r="F111" s="169" t="s">
        <v>63</v>
      </c>
      <c r="G111" s="169">
        <v>293</v>
      </c>
      <c r="H111" s="169" t="s">
        <v>602</v>
      </c>
      <c r="I111" s="150">
        <f>+I110*0</f>
        <v>0</v>
      </c>
      <c r="J111" s="165">
        <f t="shared" si="43"/>
        <v>0</v>
      </c>
      <c r="K111" s="150">
        <f t="shared" si="74"/>
        <v>0</v>
      </c>
      <c r="L111" s="150">
        <f t="shared" si="44"/>
        <v>0</v>
      </c>
      <c r="M111" s="175">
        <v>3</v>
      </c>
      <c r="N111" s="150">
        <f>IFERROR(VLOOKUP($M111,'1 b felosztások'!$A:$E,'1 b felosztások'!C$2,0)*$I111,0)</f>
        <v>0</v>
      </c>
      <c r="O111" s="150">
        <f>IFERROR(VLOOKUP($M111,'1 b felosztások'!$A:$E,'1 b felosztások'!D$2,0)*$I111,0)</f>
        <v>0</v>
      </c>
      <c r="P111" s="150">
        <f>IFERROR(VLOOKUP($M111,'1 b felosztások'!$A:$E,'1 b felosztások'!E$2,0)*$I111,0)</f>
        <v>0</v>
      </c>
      <c r="Q111" s="150">
        <f>IFERROR(VLOOKUP($M111,'1 b felosztások'!$A:$E,'1 b felosztások'!F$2,0)*$I111,0)</f>
        <v>0</v>
      </c>
      <c r="R111" s="150">
        <f>IFERROR(VLOOKUP($M111,'1 b felosztások'!$A:$E,'1 b felosztások'!G$2,0)*$I111,0)</f>
        <v>0</v>
      </c>
      <c r="S111" s="150">
        <f>IFERROR(VLOOKUP($M111,'1 b felosztások'!$A:$E,'1 b felosztások'!H$2,0)*$I111,0)</f>
        <v>0</v>
      </c>
      <c r="T111" s="150">
        <f>IFERROR(VLOOKUP($M111,'1 b felosztások'!$A:$E,'1 b felosztások'!I$2,0)*$I111,0)</f>
        <v>0</v>
      </c>
      <c r="U111" s="150">
        <f>IFERROR(VLOOKUP($M111,'1 b felosztások'!$A:$E,'1 b felosztások'!J$2,0)*$I111,0)</f>
        <v>0</v>
      </c>
      <c r="V111" s="150">
        <f>IFERROR(VLOOKUP($M111,'1 b felosztások'!$A:$E,'1 b felosztások'!K$2,0)*$I111,0)</f>
        <v>0</v>
      </c>
      <c r="W111" s="150">
        <f>IFERROR(VLOOKUP($M111,'1 b felosztások'!$A:$E,'1 b felosztások'!L$2,0)*$I111,0)</f>
        <v>0</v>
      </c>
      <c r="X111" s="150">
        <f>IFERROR(VLOOKUP($M111,'1 b felosztások'!$A:$E,'1 b felosztások'!M$2,0)*$I111,0)</f>
        <v>0</v>
      </c>
      <c r="Y111" s="150">
        <f>IFERROR(VLOOKUP($M111,'1 b felosztások'!$A:$E,'1 b felosztások'!N$2,0)*$I111,0)</f>
        <v>0</v>
      </c>
      <c r="Z111" s="150">
        <f>IFERROR(VLOOKUP($M111,'1 b felosztások'!$A:$E,'1 b felosztások'!C$2,0)*$I111,0)</f>
        <v>0</v>
      </c>
      <c r="AA111" s="150">
        <f>IFERROR(VLOOKUP($M111,'1 b felosztások'!$A:$E,'1 b felosztások'!D$2,0)*$I111,0)</f>
        <v>0</v>
      </c>
      <c r="AB111" s="150">
        <f>IFERROR(VLOOKUP($M111,'1 b felosztások'!$A:$E,'1 b felosztások'!E$2,0)*$I111,0)</f>
        <v>0</v>
      </c>
      <c r="AC111" s="150"/>
      <c r="AD111" s="150"/>
      <c r="AE111" s="150"/>
      <c r="AF111" s="150"/>
      <c r="AG111" s="150"/>
      <c r="AH111" s="150"/>
      <c r="AI111" s="150"/>
      <c r="AJ111" s="150"/>
      <c r="AK111" s="150"/>
      <c r="AL111" s="150"/>
      <c r="AM111" s="150"/>
      <c r="AN111" s="150"/>
      <c r="AO111" s="150"/>
      <c r="AP111" s="150"/>
      <c r="AQ111" s="150"/>
      <c r="AR111" s="150"/>
      <c r="AS111" s="150"/>
      <c r="AT111" s="150"/>
      <c r="AU111" s="150"/>
      <c r="AV111" s="150"/>
      <c r="AW111" s="150"/>
      <c r="AX111" s="150">
        <f>-I111</f>
        <v>0</v>
      </c>
      <c r="AY111" s="150"/>
      <c r="AZ111" s="150"/>
      <c r="BA111" s="150"/>
      <c r="BB111" s="150"/>
      <c r="BC111" s="170"/>
      <c r="BD111" s="170"/>
      <c r="BE111" s="170"/>
      <c r="BF111" s="170"/>
      <c r="BG111" s="170"/>
      <c r="BH111" s="170"/>
      <c r="BI111" s="170"/>
      <c r="BJ111" s="170"/>
      <c r="BK111" s="167">
        <f t="shared" si="63"/>
        <v>0</v>
      </c>
      <c r="BL111" s="167">
        <f t="shared" si="64"/>
        <v>0</v>
      </c>
      <c r="BM111" s="167">
        <f t="shared" si="65"/>
        <v>0</v>
      </c>
      <c r="BN111" s="167">
        <f t="shared" si="66"/>
        <v>0</v>
      </c>
    </row>
    <row r="112" spans="1:66" s="171" customFormat="1" hidden="1" outlineLevel="2" x14ac:dyDescent="0.3">
      <c r="A112" s="169"/>
      <c r="B112" s="169"/>
      <c r="C112" s="169"/>
      <c r="D112" s="169"/>
      <c r="E112" s="169" t="s">
        <v>3282</v>
      </c>
      <c r="F112" s="169" t="s">
        <v>63</v>
      </c>
      <c r="G112" s="169">
        <v>340</v>
      </c>
      <c r="H112" s="169" t="s">
        <v>690</v>
      </c>
      <c r="I112" s="150">
        <f>I110-I111</f>
        <v>0</v>
      </c>
      <c r="J112" s="165">
        <f t="shared" si="43"/>
        <v>0</v>
      </c>
      <c r="K112" s="150">
        <f t="shared" si="74"/>
        <v>0</v>
      </c>
      <c r="L112" s="150">
        <f t="shared" si="44"/>
        <v>0</v>
      </c>
      <c r="M112" s="175">
        <v>3</v>
      </c>
      <c r="N112" s="150">
        <f>IFERROR(VLOOKUP($M112,'1 b felosztások'!$A:$E,'1 b felosztások'!C$2,0)*$I112,0)</f>
        <v>0</v>
      </c>
      <c r="O112" s="150">
        <f>IFERROR(VLOOKUP($M112,'1 b felosztások'!$A:$E,'1 b felosztások'!D$2,0)*$I112,0)</f>
        <v>0</v>
      </c>
      <c r="P112" s="150">
        <f>IFERROR(VLOOKUP($M112,'1 b felosztások'!$A:$E,'1 b felosztások'!E$2,0)*$I112,0)</f>
        <v>0</v>
      </c>
      <c r="Q112" s="150">
        <f>IFERROR(VLOOKUP($M112,'1 b felosztások'!$A:$E,'1 b felosztások'!F$2,0)*$I112,0)</f>
        <v>0</v>
      </c>
      <c r="R112" s="150">
        <f>IFERROR(VLOOKUP($M112,'1 b felosztások'!$A:$E,'1 b felosztások'!G$2,0)*$I112,0)</f>
        <v>0</v>
      </c>
      <c r="S112" s="150">
        <f>IFERROR(VLOOKUP($M112,'1 b felosztások'!$A:$E,'1 b felosztások'!H$2,0)*$I112,0)</f>
        <v>0</v>
      </c>
      <c r="T112" s="150">
        <f>IFERROR(VLOOKUP($M112,'1 b felosztások'!$A:$E,'1 b felosztások'!I$2,0)*$I112,0)</f>
        <v>0</v>
      </c>
      <c r="U112" s="150">
        <f>IFERROR(VLOOKUP($M112,'1 b felosztások'!$A:$E,'1 b felosztások'!J$2,0)*$I112,0)</f>
        <v>0</v>
      </c>
      <c r="V112" s="150">
        <f>IFERROR(VLOOKUP($M112,'1 b felosztások'!$A:$E,'1 b felosztások'!K$2,0)*$I112,0)</f>
        <v>0</v>
      </c>
      <c r="W112" s="150">
        <f>IFERROR(VLOOKUP($M112,'1 b felosztások'!$A:$E,'1 b felosztások'!L$2,0)*$I112,0)</f>
        <v>0</v>
      </c>
      <c r="X112" s="150">
        <f>IFERROR(VLOOKUP($M112,'1 b felosztások'!$A:$E,'1 b felosztások'!M$2,0)*$I112,0)</f>
        <v>0</v>
      </c>
      <c r="Y112" s="150">
        <f>IFERROR(VLOOKUP($M112,'1 b felosztások'!$A:$E,'1 b felosztások'!N$2,0)*$I112,0)</f>
        <v>0</v>
      </c>
      <c r="Z112" s="150">
        <f>IFERROR(VLOOKUP($M112,'1 b felosztások'!$A:$E,'1 b felosztások'!C$2,0)*$I112,0)</f>
        <v>0</v>
      </c>
      <c r="AA112" s="150">
        <f>IFERROR(VLOOKUP($M112,'1 b felosztások'!$A:$E,'1 b felosztások'!D$2,0)*$I112,0)</f>
        <v>0</v>
      </c>
      <c r="AB112" s="150">
        <f>IFERROR(VLOOKUP($M112,'1 b felosztások'!$A:$E,'1 b felosztások'!E$2,0)*$I112,0)</f>
        <v>0</v>
      </c>
      <c r="AC112" s="150"/>
      <c r="AD112" s="150"/>
      <c r="AE112" s="150"/>
      <c r="AF112" s="150"/>
      <c r="AG112" s="150"/>
      <c r="AH112" s="150"/>
      <c r="AI112" s="150"/>
      <c r="AJ112" s="150"/>
      <c r="AK112" s="150"/>
      <c r="AL112" s="150"/>
      <c r="AM112" s="150"/>
      <c r="AN112" s="150"/>
      <c r="AO112" s="150"/>
      <c r="AP112" s="150"/>
      <c r="AQ112" s="150"/>
      <c r="AR112" s="150"/>
      <c r="AS112" s="150"/>
      <c r="AT112" s="150"/>
      <c r="AU112" s="150"/>
      <c r="AV112" s="150"/>
      <c r="AW112" s="150"/>
      <c r="AX112" s="150">
        <f>-I112</f>
        <v>0</v>
      </c>
      <c r="AY112" s="150"/>
      <c r="AZ112" s="150"/>
      <c r="BA112" s="150"/>
      <c r="BB112" s="150"/>
      <c r="BC112" s="170"/>
      <c r="BD112" s="170"/>
      <c r="BE112" s="170"/>
      <c r="BF112" s="170"/>
      <c r="BG112" s="170"/>
      <c r="BH112" s="170"/>
      <c r="BI112" s="170"/>
      <c r="BJ112" s="170"/>
      <c r="BK112" s="167">
        <f t="shared" si="63"/>
        <v>0</v>
      </c>
      <c r="BL112" s="167">
        <f t="shared" si="64"/>
        <v>0</v>
      </c>
      <c r="BM112" s="167">
        <f t="shared" si="65"/>
        <v>0</v>
      </c>
      <c r="BN112" s="167">
        <f t="shared" si="66"/>
        <v>0</v>
      </c>
    </row>
    <row r="113" spans="1:66" s="171" customFormat="1" hidden="1" outlineLevel="1" collapsed="1" x14ac:dyDescent="0.3">
      <c r="A113" s="722" t="s">
        <v>2677</v>
      </c>
      <c r="B113" s="183" t="s">
        <v>2680</v>
      </c>
      <c r="C113" s="183" t="s">
        <v>63</v>
      </c>
      <c r="D113" s="183" t="s">
        <v>2828</v>
      </c>
      <c r="E113" s="164" t="str">
        <f>VLOOKUP(A113,'Bevétel 2a SZH 2023'!B:C,2,0)</f>
        <v>EISZ kari részre átrendezés</v>
      </c>
      <c r="F113" s="183" t="s">
        <v>2696</v>
      </c>
      <c r="G113" s="186"/>
      <c r="H113" s="183" t="s">
        <v>2617</v>
      </c>
      <c r="I113" s="165">
        <f>IFERROR(VLOOKUP($A113,'Bevétel 2a SZH 2023'!$B:$L,MATCH($I$1,'Bevétel 2a SZH 2023'!$B$1:$L$1,0),0), )</f>
        <v>0</v>
      </c>
      <c r="J113" s="165">
        <f t="shared" si="43"/>
        <v>0</v>
      </c>
      <c r="K113" s="150">
        <f t="shared" ref="K113:K118" si="84">+I113-J113</f>
        <v>0</v>
      </c>
      <c r="L113" s="150">
        <f t="shared" si="44"/>
        <v>0</v>
      </c>
      <c r="M113" s="166"/>
      <c r="N113" s="165">
        <f>SUM(N114:N115)</f>
        <v>0</v>
      </c>
      <c r="O113" s="165">
        <f>SUM(O114:O115)</f>
        <v>0</v>
      </c>
      <c r="P113" s="165">
        <f t="shared" ref="P113:Y113" si="85">SUM(P114:P115)</f>
        <v>0</v>
      </c>
      <c r="Q113" s="165">
        <f t="shared" si="85"/>
        <v>0</v>
      </c>
      <c r="R113" s="165">
        <f t="shared" si="85"/>
        <v>0</v>
      </c>
      <c r="S113" s="165">
        <f t="shared" si="85"/>
        <v>0</v>
      </c>
      <c r="T113" s="165">
        <f t="shared" si="85"/>
        <v>0</v>
      </c>
      <c r="U113" s="165">
        <f t="shared" si="85"/>
        <v>0</v>
      </c>
      <c r="V113" s="165">
        <f t="shared" si="85"/>
        <v>0</v>
      </c>
      <c r="W113" s="165">
        <f t="shared" si="85"/>
        <v>0</v>
      </c>
      <c r="X113" s="165">
        <f t="shared" si="85"/>
        <v>0</v>
      </c>
      <c r="Y113" s="165">
        <f t="shared" si="85"/>
        <v>0</v>
      </c>
      <c r="Z113" s="165">
        <f t="shared" ref="Z113" si="86">SUM(Z114:Z115)</f>
        <v>0</v>
      </c>
      <c r="AA113" s="165">
        <f t="shared" ref="AA113:AB113" si="87">SUM(AA114:AA115)</f>
        <v>0</v>
      </c>
      <c r="AB113" s="165">
        <f t="shared" si="87"/>
        <v>0</v>
      </c>
      <c r="AC113" s="150"/>
      <c r="AD113" s="150"/>
      <c r="AE113" s="150"/>
      <c r="AF113" s="150"/>
      <c r="AG113" s="150"/>
      <c r="AH113" s="150"/>
      <c r="AI113" s="150"/>
      <c r="AJ113" s="150"/>
      <c r="AK113" s="150"/>
      <c r="AL113" s="150"/>
      <c r="AM113" s="150"/>
      <c r="AN113" s="150"/>
      <c r="AO113" s="150"/>
      <c r="AP113" s="150"/>
      <c r="AQ113" s="150"/>
      <c r="AR113" s="150"/>
      <c r="AS113" s="150"/>
      <c r="AT113" s="150"/>
      <c r="AU113" s="150"/>
      <c r="AV113" s="150">
        <f>SUM(AV114:AV115)</f>
        <v>0</v>
      </c>
      <c r="AW113" s="150"/>
      <c r="AX113" s="150"/>
      <c r="AY113" s="150"/>
      <c r="AZ113" s="150"/>
      <c r="BA113" s="150"/>
      <c r="BB113" s="150"/>
      <c r="BC113" s="170"/>
      <c r="BD113" s="170"/>
      <c r="BE113" s="170"/>
      <c r="BF113" s="170"/>
      <c r="BG113" s="170"/>
      <c r="BH113" s="170"/>
      <c r="BI113" s="170"/>
      <c r="BJ113" s="170"/>
      <c r="BK113" s="167">
        <f t="shared" si="63"/>
        <v>0</v>
      </c>
      <c r="BL113" s="167">
        <f t="shared" si="64"/>
        <v>0</v>
      </c>
      <c r="BM113" s="167">
        <f t="shared" si="65"/>
        <v>0</v>
      </c>
      <c r="BN113" s="167">
        <f t="shared" si="66"/>
        <v>0</v>
      </c>
    </row>
    <row r="114" spans="1:66" s="171" customFormat="1" hidden="1" outlineLevel="2" x14ac:dyDescent="0.3">
      <c r="A114" s="186"/>
      <c r="B114" s="186"/>
      <c r="C114" s="186"/>
      <c r="D114" s="186"/>
      <c r="E114" s="186" t="s">
        <v>2713</v>
      </c>
      <c r="F114" s="186" t="s">
        <v>63</v>
      </c>
      <c r="G114" s="186">
        <v>293</v>
      </c>
      <c r="H114" s="186" t="s">
        <v>602</v>
      </c>
      <c r="I114" s="150">
        <f>+I113/2</f>
        <v>0</v>
      </c>
      <c r="J114" s="165">
        <f t="shared" si="43"/>
        <v>0</v>
      </c>
      <c r="K114" s="150">
        <f t="shared" si="84"/>
        <v>0</v>
      </c>
      <c r="L114" s="150">
        <f t="shared" si="44"/>
        <v>0</v>
      </c>
      <c r="M114" s="175">
        <v>3</v>
      </c>
      <c r="N114" s="150">
        <f>IFERROR(VLOOKUP($M114,'1 b felosztások'!$A:$E,'1 b felosztások'!C$2,0)*$I114,0)</f>
        <v>0</v>
      </c>
      <c r="O114" s="150">
        <f>IFERROR(VLOOKUP($M114,'1 b felosztások'!$A:$E,'1 b felosztások'!D$2,0)*$I114,0)</f>
        <v>0</v>
      </c>
      <c r="P114" s="150">
        <f>IFERROR(VLOOKUP($M114,'1 b felosztások'!$A:$E,'1 b felosztások'!E$2,0)*$I114,0)</f>
        <v>0</v>
      </c>
      <c r="Q114" s="150">
        <f>IFERROR(VLOOKUP($M114,'1 b felosztások'!$A:$E,'1 b felosztások'!F$2,0)*$I114,0)</f>
        <v>0</v>
      </c>
      <c r="R114" s="150">
        <f>IFERROR(VLOOKUP($M114,'1 b felosztások'!$A:$E,'1 b felosztások'!G$2,0)*$I114,0)</f>
        <v>0</v>
      </c>
      <c r="S114" s="150">
        <f>IFERROR(VLOOKUP($M114,'1 b felosztások'!$A:$E,'1 b felosztások'!H$2,0)*$I114,0)</f>
        <v>0</v>
      </c>
      <c r="T114" s="150">
        <f>IFERROR(VLOOKUP($M114,'1 b felosztások'!$A:$E,'1 b felosztások'!I$2,0)*$I114,0)</f>
        <v>0</v>
      </c>
      <c r="U114" s="150">
        <f>IFERROR(VLOOKUP($M114,'1 b felosztások'!$A:$E,'1 b felosztások'!J$2,0)*$I114,0)</f>
        <v>0</v>
      </c>
      <c r="V114" s="150">
        <f>IFERROR(VLOOKUP($M114,'1 b felosztások'!$A:$E,'1 b felosztások'!K$2,0)*$I114,0)</f>
        <v>0</v>
      </c>
      <c r="W114" s="150">
        <f>IFERROR(VLOOKUP($M114,'1 b felosztások'!$A:$E,'1 b felosztások'!L$2,0)*$I114,0)</f>
        <v>0</v>
      </c>
      <c r="X114" s="150">
        <f>IFERROR(VLOOKUP($M114,'1 b felosztások'!$A:$E,'1 b felosztások'!M$2,0)*$I114,0)</f>
        <v>0</v>
      </c>
      <c r="Y114" s="150">
        <f>IFERROR(VLOOKUP($M114,'1 b felosztások'!$A:$E,'1 b felosztások'!N$2,0)*$I114,0)</f>
        <v>0</v>
      </c>
      <c r="Z114" s="150">
        <f>IFERROR(VLOOKUP($M114,'1 b felosztások'!$A:$E,'1 b felosztások'!C$2,0)*$I114,0)</f>
        <v>0</v>
      </c>
      <c r="AA114" s="150">
        <f>IFERROR(VLOOKUP($M114,'1 b felosztások'!$A:$E,'1 b felosztások'!D$2,0)*$I114,0)</f>
        <v>0</v>
      </c>
      <c r="AB114" s="150">
        <f>IFERROR(VLOOKUP($M114,'1 b felosztások'!$A:$E,'1 b felosztások'!E$2,0)*$I114,0)</f>
        <v>0</v>
      </c>
      <c r="AC114" s="150"/>
      <c r="AD114" s="150"/>
      <c r="AE114" s="150"/>
      <c r="AF114" s="150"/>
      <c r="AG114" s="150"/>
      <c r="AH114" s="150"/>
      <c r="AI114" s="150"/>
      <c r="AJ114" s="150"/>
      <c r="AK114" s="150"/>
      <c r="AL114" s="150"/>
      <c r="AM114" s="150"/>
      <c r="AN114" s="150"/>
      <c r="AO114" s="150"/>
      <c r="AP114" s="150"/>
      <c r="AQ114" s="150"/>
      <c r="AR114" s="150"/>
      <c r="AS114" s="150"/>
      <c r="AT114" s="150"/>
      <c r="AU114" s="150"/>
      <c r="AV114" s="150">
        <f>-I114</f>
        <v>0</v>
      </c>
      <c r="AW114" s="150"/>
      <c r="AX114" s="150"/>
      <c r="AY114" s="150"/>
      <c r="AZ114" s="150"/>
      <c r="BA114" s="150"/>
      <c r="BB114" s="150"/>
      <c r="BC114" s="170"/>
      <c r="BD114" s="170"/>
      <c r="BE114" s="170"/>
      <c r="BF114" s="170"/>
      <c r="BG114" s="170"/>
      <c r="BH114" s="170"/>
      <c r="BI114" s="170"/>
      <c r="BJ114" s="170"/>
      <c r="BK114" s="167">
        <f t="shared" si="63"/>
        <v>0</v>
      </c>
      <c r="BL114" s="167">
        <f t="shared" si="64"/>
        <v>0</v>
      </c>
      <c r="BM114" s="167">
        <f t="shared" si="65"/>
        <v>0</v>
      </c>
      <c r="BN114" s="167">
        <f t="shared" si="66"/>
        <v>0</v>
      </c>
    </row>
    <row r="115" spans="1:66" s="171" customFormat="1" hidden="1" outlineLevel="2" x14ac:dyDescent="0.3">
      <c r="A115" s="186"/>
      <c r="B115" s="186"/>
      <c r="C115" s="186"/>
      <c r="D115" s="186"/>
      <c r="E115" s="186" t="s">
        <v>2714</v>
      </c>
      <c r="F115" s="186" t="s">
        <v>63</v>
      </c>
      <c r="G115" s="186">
        <v>340</v>
      </c>
      <c r="H115" s="186" t="s">
        <v>690</v>
      </c>
      <c r="I115" s="150">
        <f>+I113-I114</f>
        <v>0</v>
      </c>
      <c r="J115" s="165">
        <f t="shared" si="43"/>
        <v>0</v>
      </c>
      <c r="K115" s="150">
        <f t="shared" si="84"/>
        <v>0</v>
      </c>
      <c r="L115" s="150">
        <f t="shared" si="44"/>
        <v>0</v>
      </c>
      <c r="M115" s="175">
        <v>3</v>
      </c>
      <c r="N115" s="150">
        <f>IFERROR(VLOOKUP($M115,'1 b felosztások'!$A:$E,'1 b felosztások'!C$2,0)*$I115,0)</f>
        <v>0</v>
      </c>
      <c r="O115" s="150">
        <f>IFERROR(VLOOKUP($M115,'1 b felosztások'!$A:$E,'1 b felosztások'!D$2,0)*$I115,0)</f>
        <v>0</v>
      </c>
      <c r="P115" s="150">
        <f>IFERROR(VLOOKUP($M115,'1 b felosztások'!$A:$E,'1 b felosztások'!E$2,0)*$I115,0)</f>
        <v>0</v>
      </c>
      <c r="Q115" s="150">
        <f>IFERROR(VLOOKUP($M115,'1 b felosztások'!$A:$E,'1 b felosztások'!F$2,0)*$I115,0)</f>
        <v>0</v>
      </c>
      <c r="R115" s="150">
        <f>IFERROR(VLOOKUP($M115,'1 b felosztások'!$A:$E,'1 b felosztások'!G$2,0)*$I115,0)</f>
        <v>0</v>
      </c>
      <c r="S115" s="150">
        <f>IFERROR(VLOOKUP($M115,'1 b felosztások'!$A:$E,'1 b felosztások'!H$2,0)*$I115,0)</f>
        <v>0</v>
      </c>
      <c r="T115" s="150">
        <f>IFERROR(VLOOKUP($M115,'1 b felosztások'!$A:$E,'1 b felosztások'!I$2,0)*$I115,0)</f>
        <v>0</v>
      </c>
      <c r="U115" s="150">
        <f>IFERROR(VLOOKUP($M115,'1 b felosztások'!$A:$E,'1 b felosztások'!J$2,0)*$I115,0)</f>
        <v>0</v>
      </c>
      <c r="V115" s="150">
        <f>IFERROR(VLOOKUP($M115,'1 b felosztások'!$A:$E,'1 b felosztások'!K$2,0)*$I115,0)</f>
        <v>0</v>
      </c>
      <c r="W115" s="150">
        <f>IFERROR(VLOOKUP($M115,'1 b felosztások'!$A:$E,'1 b felosztások'!L$2,0)*$I115,0)</f>
        <v>0</v>
      </c>
      <c r="X115" s="150">
        <f>IFERROR(VLOOKUP($M115,'1 b felosztások'!$A:$E,'1 b felosztások'!M$2,0)*$I115,0)</f>
        <v>0</v>
      </c>
      <c r="Y115" s="150">
        <f>IFERROR(VLOOKUP($M115,'1 b felosztások'!$A:$E,'1 b felosztások'!N$2,0)*$I115,0)</f>
        <v>0</v>
      </c>
      <c r="Z115" s="150">
        <f>IFERROR(VLOOKUP($M115,'1 b felosztások'!$A:$E,'1 b felosztások'!C$2,0)*$I115,0)</f>
        <v>0</v>
      </c>
      <c r="AA115" s="150">
        <f>IFERROR(VLOOKUP($M115,'1 b felosztások'!$A:$E,'1 b felosztások'!D$2,0)*$I115,0)</f>
        <v>0</v>
      </c>
      <c r="AB115" s="150">
        <f>IFERROR(VLOOKUP($M115,'1 b felosztások'!$A:$E,'1 b felosztások'!E$2,0)*$I115,0)</f>
        <v>0</v>
      </c>
      <c r="AC115" s="150"/>
      <c r="AD115" s="150"/>
      <c r="AE115" s="150"/>
      <c r="AF115" s="150"/>
      <c r="AG115" s="150"/>
      <c r="AH115" s="150"/>
      <c r="AI115" s="150"/>
      <c r="AJ115" s="150"/>
      <c r="AK115" s="150"/>
      <c r="AL115" s="150"/>
      <c r="AM115" s="150"/>
      <c r="AN115" s="150"/>
      <c r="AO115" s="150"/>
      <c r="AP115" s="150"/>
      <c r="AQ115" s="150"/>
      <c r="AR115" s="150"/>
      <c r="AS115" s="150"/>
      <c r="AT115" s="150"/>
      <c r="AU115" s="150"/>
      <c r="AV115" s="150">
        <f>-I115</f>
        <v>0</v>
      </c>
      <c r="AW115" s="150"/>
      <c r="AX115" s="150"/>
      <c r="AY115" s="150"/>
      <c r="AZ115" s="150"/>
      <c r="BA115" s="150"/>
      <c r="BB115" s="150"/>
      <c r="BC115" s="170"/>
      <c r="BD115" s="170"/>
      <c r="BE115" s="170"/>
      <c r="BF115" s="170"/>
      <c r="BG115" s="170"/>
      <c r="BH115" s="170"/>
      <c r="BI115" s="170"/>
      <c r="BJ115" s="170"/>
      <c r="BK115" s="167">
        <f t="shared" si="63"/>
        <v>0</v>
      </c>
      <c r="BL115" s="167">
        <f t="shared" si="64"/>
        <v>0</v>
      </c>
      <c r="BM115" s="167">
        <f t="shared" si="65"/>
        <v>0</v>
      </c>
      <c r="BN115" s="167">
        <f t="shared" si="66"/>
        <v>0</v>
      </c>
    </row>
    <row r="116" spans="1:66" s="171" customFormat="1" hidden="1" outlineLevel="1" collapsed="1" x14ac:dyDescent="0.3">
      <c r="A116" s="722" t="s">
        <v>2678</v>
      </c>
      <c r="B116" s="183" t="s">
        <v>2681</v>
      </c>
      <c r="C116" s="183" t="s">
        <v>63</v>
      </c>
      <c r="D116" s="183" t="s">
        <v>3897</v>
      </c>
      <c r="E116" s="164" t="str">
        <f>VLOOKUP(A116,'Bevétel 2a SZH 2023'!B:C,2,0)</f>
        <v>Tárgyévi közterületesítés miatti átrendezés</v>
      </c>
      <c r="F116" s="183" t="s">
        <v>2696</v>
      </c>
      <c r="G116" s="186"/>
      <c r="H116" s="183" t="s">
        <v>2617</v>
      </c>
      <c r="I116" s="165">
        <f>IFERROR(VLOOKUP($A116,'Bevétel 2a SZH 2023'!$B:$L,MATCH($I$1,'Bevétel 2a SZH 2023'!$B$1:$L$1,0),0), )</f>
        <v>-1268176</v>
      </c>
      <c r="J116" s="165">
        <f t="shared" si="43"/>
        <v>-1268176</v>
      </c>
      <c r="K116" s="150">
        <f t="shared" si="84"/>
        <v>0</v>
      </c>
      <c r="L116" s="150">
        <f t="shared" si="44"/>
        <v>0</v>
      </c>
      <c r="M116" s="173"/>
      <c r="N116" s="165">
        <f>+N117+N118</f>
        <v>-328767.51185835776</v>
      </c>
      <c r="O116" s="165">
        <f>+O117+O118</f>
        <v>-79368.405119197007</v>
      </c>
      <c r="P116" s="165">
        <f t="shared" ref="P116:Z116" si="88">+P117+P118</f>
        <v>-17000.948579394953</v>
      </c>
      <c r="Q116" s="165">
        <f t="shared" si="88"/>
        <v>-95506.576774013651</v>
      </c>
      <c r="R116" s="165">
        <f t="shared" si="88"/>
        <v>-36866.033670709599</v>
      </c>
      <c r="S116" s="165">
        <f t="shared" si="88"/>
        <v>-72006.513492262646</v>
      </c>
      <c r="T116" s="165">
        <f t="shared" si="88"/>
        <v>-49461.162381151546</v>
      </c>
      <c r="U116" s="165">
        <f t="shared" si="88"/>
        <v>-88236.620393140955</v>
      </c>
      <c r="V116" s="165">
        <f t="shared" si="88"/>
        <v>-131969.50975045309</v>
      </c>
      <c r="W116" s="165">
        <f t="shared" si="88"/>
        <v>-91779.663337515696</v>
      </c>
      <c r="X116" s="165">
        <f t="shared" si="88"/>
        <v>-35819.386254008081</v>
      </c>
      <c r="Y116" s="165">
        <f t="shared" si="88"/>
        <v>-196027.16042938796</v>
      </c>
      <c r="Z116" s="165">
        <f t="shared" si="88"/>
        <v>-45366.507960407085</v>
      </c>
      <c r="AA116" s="165">
        <f t="shared" ref="AA116:AB116" si="89">+AA117+AA118</f>
        <v>0</v>
      </c>
      <c r="AB116" s="165">
        <f t="shared" si="89"/>
        <v>0</v>
      </c>
      <c r="AC116" s="150"/>
      <c r="AD116" s="150"/>
      <c r="AE116" s="150"/>
      <c r="AF116" s="150"/>
      <c r="AG116" s="150"/>
      <c r="AH116" s="150"/>
      <c r="AI116" s="150"/>
      <c r="AJ116" s="150"/>
      <c r="AK116" s="150"/>
      <c r="AL116" s="150"/>
      <c r="AM116" s="150"/>
      <c r="AN116" s="150"/>
      <c r="AO116" s="150"/>
      <c r="AP116" s="165">
        <f>+AP117+AP118</f>
        <v>1268176</v>
      </c>
      <c r="AQ116" s="165"/>
      <c r="AR116" s="150"/>
      <c r="AS116" s="150"/>
      <c r="AT116" s="150"/>
      <c r="AU116" s="150"/>
      <c r="AV116" s="150"/>
      <c r="AW116" s="150"/>
      <c r="AX116" s="150"/>
      <c r="AY116" s="150"/>
      <c r="AZ116" s="150"/>
      <c r="BA116" s="150"/>
      <c r="BB116" s="150"/>
      <c r="BC116" s="170"/>
      <c r="BD116" s="170"/>
      <c r="BE116" s="170"/>
      <c r="BF116" s="170"/>
      <c r="BG116" s="170"/>
      <c r="BH116" s="170"/>
      <c r="BI116" s="170"/>
      <c r="BJ116" s="170"/>
      <c r="BK116" s="167">
        <f t="shared" si="63"/>
        <v>-1268176</v>
      </c>
      <c r="BL116" s="167">
        <f t="shared" si="64"/>
        <v>0</v>
      </c>
      <c r="BM116" s="167">
        <f t="shared" si="65"/>
        <v>0</v>
      </c>
      <c r="BN116" s="167">
        <f t="shared" si="66"/>
        <v>1268176</v>
      </c>
    </row>
    <row r="117" spans="1:66" s="171" customFormat="1" hidden="1" outlineLevel="2" x14ac:dyDescent="0.3">
      <c r="A117" s="186"/>
      <c r="B117" s="186"/>
      <c r="C117" s="186"/>
      <c r="D117" s="186"/>
      <c r="E117" s="186" t="s">
        <v>2715</v>
      </c>
      <c r="F117" s="186" t="s">
        <v>63</v>
      </c>
      <c r="G117" s="186">
        <v>290</v>
      </c>
      <c r="H117" s="186" t="s">
        <v>596</v>
      </c>
      <c r="I117" s="150"/>
      <c r="J117" s="165">
        <f t="shared" si="43"/>
        <v>0</v>
      </c>
      <c r="K117" s="150">
        <f t="shared" si="84"/>
        <v>0</v>
      </c>
      <c r="L117" s="150">
        <f t="shared" si="44"/>
        <v>0</v>
      </c>
      <c r="M117" s="175">
        <v>9</v>
      </c>
      <c r="N117" s="150">
        <f>IFERROR(VLOOKUP($M117,'1 b felosztások'!$A:$AE,'1 b felosztások'!C$2,0)*$I117,0)</f>
        <v>0</v>
      </c>
      <c r="O117" s="150">
        <f>IFERROR(VLOOKUP($M117,'1 b felosztások'!$A:$AE,'1 b felosztások'!D$2,0)*$I117,0)</f>
        <v>0</v>
      </c>
      <c r="P117" s="150">
        <f>IFERROR(VLOOKUP($M117,'1 b felosztások'!$A:$AE,'1 b felosztások'!E$2,0)*$I117,0)</f>
        <v>0</v>
      </c>
      <c r="Q117" s="150">
        <f>IFERROR(VLOOKUP($M117,'1 b felosztások'!$A:$AE,'1 b felosztások'!F$2,0)*$I117,0)</f>
        <v>0</v>
      </c>
      <c r="R117" s="150">
        <f>IFERROR(VLOOKUP($M117,'1 b felosztások'!$A:$AE,'1 b felosztások'!G$2,0)*$I117,0)</f>
        <v>0</v>
      </c>
      <c r="S117" s="150">
        <f>IFERROR(VLOOKUP($M117,'1 b felosztások'!$A:$AE,'1 b felosztások'!H$2,0)*$I117,0)</f>
        <v>0</v>
      </c>
      <c r="T117" s="150">
        <f>IFERROR(VLOOKUP($M117,'1 b felosztások'!$A:$AE,'1 b felosztások'!I$2,0)*$I117,0)</f>
        <v>0</v>
      </c>
      <c r="U117" s="150">
        <f>IFERROR(VLOOKUP($M117,'1 b felosztások'!$A:$AE,'1 b felosztások'!J$2,0)*$I117,0)</f>
        <v>0</v>
      </c>
      <c r="V117" s="150">
        <f>IFERROR(VLOOKUP($M117,'1 b felosztások'!$A:$AE,'1 b felosztások'!K$2,0)*$I117,0)</f>
        <v>0</v>
      </c>
      <c r="W117" s="150">
        <f>IFERROR(VLOOKUP($M117,'1 b felosztások'!$A:$AE,'1 b felosztások'!L$2,0)*$I117,0)</f>
        <v>0</v>
      </c>
      <c r="X117" s="150">
        <f>IFERROR(VLOOKUP($M117,'1 b felosztások'!$A:$AE,'1 b felosztások'!M$2,0)*$I117,0)</f>
        <v>0</v>
      </c>
      <c r="Y117" s="150">
        <f>IFERROR(VLOOKUP($M117,'1 b felosztások'!$A:$AE,'1 b felosztások'!N$2,0)*$I117,0)</f>
        <v>0</v>
      </c>
      <c r="Z117" s="150">
        <f>IFERROR(VLOOKUP($M117,'1 b felosztások'!$A:$AE,'1 b felosztások'!O$2,0)*$I117,0)</f>
        <v>0</v>
      </c>
      <c r="AA117" s="150">
        <f>IFERROR(VLOOKUP($M117,'1 b felosztások'!$A:$AE,'1 b felosztások'!P$2,0)*$I117,0)</f>
        <v>0</v>
      </c>
      <c r="AB117" s="150">
        <f>IFERROR(VLOOKUP($M117,'1 b felosztások'!$A:$AE,'1 b felosztások'!Q$2,0)*$I117,0)</f>
        <v>0</v>
      </c>
      <c r="AC117" s="150"/>
      <c r="AD117" s="150"/>
      <c r="AE117" s="150"/>
      <c r="AF117" s="150"/>
      <c r="AG117" s="150"/>
      <c r="AH117" s="150"/>
      <c r="AI117" s="150"/>
      <c r="AJ117" s="150"/>
      <c r="AK117" s="150"/>
      <c r="AL117" s="150"/>
      <c r="AM117" s="150"/>
      <c r="AN117" s="150"/>
      <c r="AO117" s="150"/>
      <c r="AP117" s="150">
        <f>-I117</f>
        <v>0</v>
      </c>
      <c r="AQ117" s="150"/>
      <c r="AR117" s="150"/>
      <c r="AS117" s="150"/>
      <c r="AT117" s="150"/>
      <c r="AU117" s="150"/>
      <c r="AV117" s="150"/>
      <c r="AW117" s="150"/>
      <c r="AX117" s="150"/>
      <c r="AY117" s="150"/>
      <c r="AZ117" s="150"/>
      <c r="BA117" s="150"/>
      <c r="BB117" s="150"/>
      <c r="BC117" s="170"/>
      <c r="BD117" s="170"/>
      <c r="BE117" s="170"/>
      <c r="BF117" s="170"/>
      <c r="BG117" s="170"/>
      <c r="BH117" s="170"/>
      <c r="BI117" s="170"/>
      <c r="BJ117" s="170"/>
      <c r="BK117" s="167">
        <f t="shared" si="63"/>
        <v>0</v>
      </c>
      <c r="BL117" s="167">
        <f t="shared" si="64"/>
        <v>0</v>
      </c>
      <c r="BM117" s="167">
        <f t="shared" si="65"/>
        <v>0</v>
      </c>
      <c r="BN117" s="167">
        <f t="shared" si="66"/>
        <v>0</v>
      </c>
    </row>
    <row r="118" spans="1:66" s="171" customFormat="1" hidden="1" outlineLevel="2" x14ac:dyDescent="0.3">
      <c r="A118" s="186"/>
      <c r="B118" s="186"/>
      <c r="C118" s="186"/>
      <c r="D118" s="186"/>
      <c r="E118" s="186" t="s">
        <v>2716</v>
      </c>
      <c r="F118" s="186" t="s">
        <v>63</v>
      </c>
      <c r="G118" s="186">
        <v>336</v>
      </c>
      <c r="H118" s="186" t="s">
        <v>684</v>
      </c>
      <c r="I118" s="150">
        <v>-1268176</v>
      </c>
      <c r="J118" s="165">
        <f t="shared" si="43"/>
        <v>-1268176</v>
      </c>
      <c r="K118" s="150">
        <f t="shared" si="84"/>
        <v>0</v>
      </c>
      <c r="L118" s="150">
        <f t="shared" si="44"/>
        <v>0</v>
      </c>
      <c r="M118" s="175">
        <v>9</v>
      </c>
      <c r="N118" s="150">
        <f>IFERROR(VLOOKUP($M118,'1 b felosztások'!$A:$AE,'1 b felosztások'!C$2,0)*$I118,0)</f>
        <v>-328767.51185835776</v>
      </c>
      <c r="O118" s="150">
        <f>IFERROR(VLOOKUP($M118,'1 b felosztások'!$A:$AE,'1 b felosztások'!D$2,0)*$I118,0)</f>
        <v>-79368.405119197007</v>
      </c>
      <c r="P118" s="150">
        <f>IFERROR(VLOOKUP($M118,'1 b felosztások'!$A:$AE,'1 b felosztások'!E$2,0)*$I118,0)</f>
        <v>-17000.948579394953</v>
      </c>
      <c r="Q118" s="150">
        <f>IFERROR(VLOOKUP($M118,'1 b felosztások'!$A:$AE,'1 b felosztások'!F$2,0)*$I118,0)</f>
        <v>-95506.576774013651</v>
      </c>
      <c r="R118" s="150">
        <f>IFERROR(VLOOKUP($M118,'1 b felosztások'!$A:$AE,'1 b felosztások'!G$2,0)*$I118,0)</f>
        <v>-36866.033670709599</v>
      </c>
      <c r="S118" s="150">
        <f>IFERROR(VLOOKUP($M118,'1 b felosztások'!$A:$AE,'1 b felosztások'!H$2,0)*$I118,0)</f>
        <v>-72006.513492262646</v>
      </c>
      <c r="T118" s="150">
        <f>IFERROR(VLOOKUP($M118,'1 b felosztások'!$A:$AE,'1 b felosztások'!I$2,0)*$I118,0)</f>
        <v>-49461.162381151546</v>
      </c>
      <c r="U118" s="150">
        <f>IFERROR(VLOOKUP($M118,'1 b felosztások'!$A:$AE,'1 b felosztások'!J$2,0)*$I118,0)</f>
        <v>-88236.620393140955</v>
      </c>
      <c r="V118" s="150">
        <f>IFERROR(VLOOKUP($M118,'1 b felosztások'!$A:$AE,'1 b felosztások'!K$2,0)*$I118,0)</f>
        <v>-131969.50975045309</v>
      </c>
      <c r="W118" s="150">
        <f>IFERROR(VLOOKUP($M118,'1 b felosztások'!$A:$AE,'1 b felosztások'!L$2,0)*$I118,0)</f>
        <v>-91779.663337515696</v>
      </c>
      <c r="X118" s="150">
        <f>IFERROR(VLOOKUP($M118,'1 b felosztások'!$A:$AE,'1 b felosztások'!M$2,0)*$I118,0)</f>
        <v>-35819.386254008081</v>
      </c>
      <c r="Y118" s="150">
        <f>IFERROR(VLOOKUP($M118,'1 b felosztások'!$A:$AE,'1 b felosztások'!N$2,0)*$I118,0)</f>
        <v>-196027.16042938796</v>
      </c>
      <c r="Z118" s="150">
        <f>IFERROR(VLOOKUP($M118,'1 b felosztások'!$A:$AE,'1 b felosztások'!O$2,0)*$I118,0)</f>
        <v>-45366.507960407085</v>
      </c>
      <c r="AA118" s="150">
        <f>IFERROR(VLOOKUP($M118,'1 b felosztások'!$A:$AE,'1 b felosztások'!P$2,0)*$I118,0)</f>
        <v>0</v>
      </c>
      <c r="AB118" s="150">
        <f>IFERROR(VLOOKUP($M118,'1 b felosztások'!$A:$AE,'1 b felosztások'!Q$2,0)*$I118,0)</f>
        <v>0</v>
      </c>
      <c r="AC118" s="150"/>
      <c r="AD118" s="150"/>
      <c r="AE118" s="150"/>
      <c r="AF118" s="150"/>
      <c r="AG118" s="150"/>
      <c r="AH118" s="150"/>
      <c r="AI118" s="150"/>
      <c r="AJ118" s="150"/>
      <c r="AK118" s="150"/>
      <c r="AL118" s="150"/>
      <c r="AM118" s="150"/>
      <c r="AN118" s="150"/>
      <c r="AO118" s="150"/>
      <c r="AP118" s="150">
        <f>-I118</f>
        <v>1268176</v>
      </c>
      <c r="AQ118" s="150"/>
      <c r="AR118" s="150"/>
      <c r="AS118" s="150"/>
      <c r="AT118" s="150"/>
      <c r="AU118" s="150"/>
      <c r="AV118" s="150"/>
      <c r="AW118" s="150"/>
      <c r="AX118" s="150"/>
      <c r="AY118" s="150"/>
      <c r="AZ118" s="150"/>
      <c r="BA118" s="150"/>
      <c r="BB118" s="150"/>
      <c r="BC118" s="170"/>
      <c r="BD118" s="170"/>
      <c r="BE118" s="170"/>
      <c r="BF118" s="170"/>
      <c r="BG118" s="170"/>
      <c r="BH118" s="170"/>
      <c r="BI118" s="170"/>
      <c r="BJ118" s="170"/>
      <c r="BK118" s="167">
        <f t="shared" si="63"/>
        <v>-1268176</v>
      </c>
      <c r="BL118" s="167">
        <f t="shared" si="64"/>
        <v>0</v>
      </c>
      <c r="BM118" s="167">
        <f t="shared" si="65"/>
        <v>0</v>
      </c>
      <c r="BN118" s="167">
        <f t="shared" si="66"/>
        <v>1268176</v>
      </c>
    </row>
    <row r="119" spans="1:66" s="171" customFormat="1" hidden="1" outlineLevel="1" collapsed="1" x14ac:dyDescent="0.3">
      <c r="A119" s="185" t="s">
        <v>3757</v>
      </c>
      <c r="B119" s="183" t="s">
        <v>3758</v>
      </c>
      <c r="C119" s="183" t="s">
        <v>63</v>
      </c>
      <c r="D119" s="183" t="s">
        <v>3898</v>
      </c>
      <c r="E119" s="164" t="str">
        <f>VLOOKUP(A119,'Bevétel 2a SZH 2023'!B:C,2,0)</f>
        <v>Előirányzat csökkentéshez hozzájárulás tárgyévi összes bevétel és tervezett pályázati kiadás alapján</v>
      </c>
      <c r="F119" s="164" t="s">
        <v>2696</v>
      </c>
      <c r="G119" s="169"/>
      <c r="H119" s="164" t="s">
        <v>2617</v>
      </c>
      <c r="I119" s="165">
        <f>IFERROR(VLOOKUP($A119,'Bevétel 2a SZH 2023'!$B:$L,MATCH($I$1,'Bevétel 2a SZH 2023'!$B$1:$L$1,0),0), )</f>
        <v>-10131830.074916951</v>
      </c>
      <c r="J119" s="165">
        <f t="shared" ref="J119:J120" si="90">SUM(N119:AO119)</f>
        <v>-10131829.999999998</v>
      </c>
      <c r="K119" s="150">
        <f t="shared" ref="K119:K120" si="91">+I119-J119</f>
        <v>-7.4916953220963478E-2</v>
      </c>
      <c r="L119" s="150">
        <f t="shared" si="44"/>
        <v>0</v>
      </c>
      <c r="M119" s="173"/>
      <c r="N119" s="165">
        <f>+N120+N121</f>
        <v>-2646342.0063978843</v>
      </c>
      <c r="O119" s="165">
        <f t="shared" ref="O119:AB119" si="92">+O120+O121</f>
        <v>-425270.87715152424</v>
      </c>
      <c r="P119" s="165">
        <f t="shared" si="92"/>
        <v>-72812.976008187237</v>
      </c>
      <c r="Q119" s="165">
        <f t="shared" si="92"/>
        <v>-637706.81065314508</v>
      </c>
      <c r="R119" s="165">
        <f t="shared" si="92"/>
        <v>-176786.21754419769</v>
      </c>
      <c r="S119" s="165">
        <f t="shared" si="92"/>
        <v>-895379.14162641519</v>
      </c>
      <c r="T119" s="165">
        <f t="shared" si="92"/>
        <v>-485505.03011699242</v>
      </c>
      <c r="U119" s="165">
        <f t="shared" si="92"/>
        <v>-870953.98097249749</v>
      </c>
      <c r="V119" s="165">
        <f t="shared" si="92"/>
        <v>-1040394.5624458165</v>
      </c>
      <c r="W119" s="165">
        <f t="shared" si="92"/>
        <v>-649361.66222659545</v>
      </c>
      <c r="X119" s="165">
        <f t="shared" si="92"/>
        <v>-70976.918856533608</v>
      </c>
      <c r="Y119" s="165">
        <f t="shared" si="92"/>
        <v>-1850399.9631636504</v>
      </c>
      <c r="Z119" s="165">
        <f t="shared" si="92"/>
        <v>-309939.85283656005</v>
      </c>
      <c r="AA119" s="165">
        <f t="shared" si="92"/>
        <v>0</v>
      </c>
      <c r="AB119" s="165">
        <f t="shared" si="92"/>
        <v>0</v>
      </c>
      <c r="AC119" s="150"/>
      <c r="AD119" s="150"/>
      <c r="AE119" s="150"/>
      <c r="AF119" s="150"/>
      <c r="AG119" s="150"/>
      <c r="AH119" s="150"/>
      <c r="AI119" s="150"/>
      <c r="AJ119" s="150"/>
      <c r="AK119" s="150"/>
      <c r="AL119" s="150"/>
      <c r="AM119" s="150"/>
      <c r="AN119" s="150"/>
      <c r="AO119" s="150"/>
      <c r="AP119" s="165"/>
      <c r="AQ119" s="165">
        <f>+AQ120+AQ121</f>
        <v>10131830</v>
      </c>
      <c r="AR119" s="150"/>
      <c r="AS119" s="150"/>
      <c r="AT119" s="150"/>
      <c r="AU119" s="150"/>
      <c r="AV119" s="150"/>
      <c r="AW119" s="150"/>
      <c r="AX119" s="150"/>
      <c r="AY119" s="150"/>
      <c r="AZ119" s="150"/>
      <c r="BA119" s="150"/>
      <c r="BB119" s="150"/>
      <c r="BC119" s="170"/>
      <c r="BD119" s="170"/>
      <c r="BE119" s="170"/>
      <c r="BF119" s="170"/>
      <c r="BG119" s="170"/>
      <c r="BH119" s="170"/>
      <c r="BI119" s="170"/>
      <c r="BJ119" s="170"/>
      <c r="BK119" s="167">
        <f t="shared" si="63"/>
        <v>-10131829.999999998</v>
      </c>
      <c r="BL119" s="167">
        <f t="shared" si="64"/>
        <v>0</v>
      </c>
      <c r="BM119" s="167">
        <f t="shared" si="65"/>
        <v>0</v>
      </c>
      <c r="BN119" s="167">
        <f>+SUM(AQ119:BJ119)</f>
        <v>10131830</v>
      </c>
    </row>
    <row r="120" spans="1:66" s="171" customFormat="1" hidden="1" outlineLevel="2" x14ac:dyDescent="0.3">
      <c r="A120" s="169"/>
      <c r="B120" s="169"/>
      <c r="C120" s="169"/>
      <c r="D120" s="169"/>
      <c r="E120" s="186" t="s">
        <v>3795</v>
      </c>
      <c r="F120" s="169" t="s">
        <v>63</v>
      </c>
      <c r="G120" s="730">
        <v>287</v>
      </c>
      <c r="H120" s="730" t="s">
        <v>3901</v>
      </c>
      <c r="I120" s="150"/>
      <c r="J120" s="150">
        <f t="shared" si="90"/>
        <v>0</v>
      </c>
      <c r="K120" s="150">
        <f t="shared" si="91"/>
        <v>0</v>
      </c>
      <c r="L120" s="150">
        <f t="shared" si="44"/>
        <v>0</v>
      </c>
      <c r="M120" s="175">
        <v>3</v>
      </c>
      <c r="N120" s="150">
        <f>IFERROR(VLOOKUP($M120,'1 b felosztások'!$A:$AE,'1 b felosztások'!C$2,0)*$I120,0)</f>
        <v>0</v>
      </c>
      <c r="O120" s="150">
        <f>IFERROR(VLOOKUP($M120,'1 b felosztások'!$A:$AE,'1 b felosztások'!D$2,0)*$I120,0)</f>
        <v>0</v>
      </c>
      <c r="P120" s="150">
        <f>IFERROR(VLOOKUP($M120,'1 b felosztások'!$A:$AE,'1 b felosztások'!E$2,0)*$I120,0)</f>
        <v>0</v>
      </c>
      <c r="Q120" s="150">
        <f>IFERROR(VLOOKUP($M120,'1 b felosztások'!$A:$AE,'1 b felosztások'!F$2,0)*$I120,0)</f>
        <v>0</v>
      </c>
      <c r="R120" s="150">
        <f>IFERROR(VLOOKUP($M120,'1 b felosztások'!$A:$AE,'1 b felosztások'!G$2,0)*$I120,0)</f>
        <v>0</v>
      </c>
      <c r="S120" s="150">
        <f>IFERROR(VLOOKUP($M120,'1 b felosztások'!$A:$AE,'1 b felosztások'!H$2,0)*$I120,0)</f>
        <v>0</v>
      </c>
      <c r="T120" s="150">
        <f>IFERROR(VLOOKUP($M120,'1 b felosztások'!$A:$AE,'1 b felosztások'!I$2,0)*$I120,0)</f>
        <v>0</v>
      </c>
      <c r="U120" s="150">
        <f>IFERROR(VLOOKUP($M120,'1 b felosztások'!$A:$AE,'1 b felosztások'!J$2,0)*$I120,0)</f>
        <v>0</v>
      </c>
      <c r="V120" s="150">
        <f>IFERROR(VLOOKUP($M120,'1 b felosztások'!$A:$AE,'1 b felosztások'!K$2,0)*$I120,0)</f>
        <v>0</v>
      </c>
      <c r="W120" s="150">
        <f>IFERROR(VLOOKUP($M120,'1 b felosztások'!$A:$AE,'1 b felosztások'!L$2,0)*$I120,0)</f>
        <v>0</v>
      </c>
      <c r="X120" s="150">
        <f>IFERROR(VLOOKUP($M120,'1 b felosztások'!$A:$AE,'1 b felosztások'!M$2,0)*$I120,0)</f>
        <v>0</v>
      </c>
      <c r="Y120" s="150">
        <f>IFERROR(VLOOKUP($M120,'1 b felosztások'!$A:$AE,'1 b felosztások'!N$2,0)*$I120,0)</f>
        <v>0</v>
      </c>
      <c r="Z120" s="150">
        <f>IFERROR(VLOOKUP($M120,'1 b felosztások'!$A:$AE,'1 b felosztások'!O$2,0)*$I120,0)</f>
        <v>0</v>
      </c>
      <c r="AA120" s="150">
        <f>IFERROR(VLOOKUP($M120,'1 b felosztások'!$A:$AE,'1 b felosztások'!P$2,0)*$I120,0)</f>
        <v>0</v>
      </c>
      <c r="AB120" s="150">
        <f>IFERROR(VLOOKUP($M120,'1 b felosztások'!$A:$AE,'1 b felosztások'!Q$2,0)*$I120,0)</f>
        <v>0</v>
      </c>
      <c r="AC120" s="150"/>
      <c r="AD120" s="150"/>
      <c r="AE120" s="150"/>
      <c r="AF120" s="150"/>
      <c r="AG120" s="150"/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>
        <f>-I120</f>
        <v>0</v>
      </c>
      <c r="AR120" s="150"/>
      <c r="AS120" s="150"/>
      <c r="AT120" s="150"/>
      <c r="AU120" s="150"/>
      <c r="AV120" s="150"/>
      <c r="AW120" s="150"/>
      <c r="AX120" s="150"/>
      <c r="AY120" s="150"/>
      <c r="AZ120" s="150"/>
      <c r="BA120" s="150"/>
      <c r="BB120" s="150"/>
      <c r="BC120" s="170"/>
      <c r="BD120" s="170"/>
      <c r="BE120" s="170"/>
      <c r="BF120" s="170"/>
      <c r="BG120" s="170"/>
      <c r="BH120" s="170"/>
      <c r="BI120" s="170"/>
      <c r="BJ120" s="170"/>
      <c r="BK120" s="167">
        <f t="shared" si="63"/>
        <v>0</v>
      </c>
      <c r="BL120" s="167">
        <f t="shared" si="64"/>
        <v>0</v>
      </c>
      <c r="BM120" s="167">
        <f t="shared" si="65"/>
        <v>0</v>
      </c>
      <c r="BN120" s="167">
        <f>+SUM(AQ120:BJ120)</f>
        <v>0</v>
      </c>
    </row>
    <row r="121" spans="1:66" s="171" customFormat="1" hidden="1" outlineLevel="2" x14ac:dyDescent="0.3">
      <c r="A121" s="169"/>
      <c r="B121" s="169"/>
      <c r="C121" s="169"/>
      <c r="D121" s="169"/>
      <c r="E121" s="186" t="s">
        <v>3900</v>
      </c>
      <c r="F121" s="169" t="s">
        <v>63</v>
      </c>
      <c r="G121" s="730">
        <v>334</v>
      </c>
      <c r="H121" s="730" t="s">
        <v>3902</v>
      </c>
      <c r="I121" s="150">
        <v>-10131830</v>
      </c>
      <c r="J121" s="150">
        <f t="shared" ref="J121" si="93">SUM(N121:AO121)</f>
        <v>-10131829.999999998</v>
      </c>
      <c r="K121" s="150">
        <f t="shared" ref="K121" si="94">+I121-J121</f>
        <v>0</v>
      </c>
      <c r="L121" s="150">
        <f t="shared" si="44"/>
        <v>0</v>
      </c>
      <c r="M121" s="175">
        <v>7</v>
      </c>
      <c r="N121" s="150">
        <f>IFERROR(VLOOKUP($M121,'1 b felosztások'!$A:$AE,'1 b felosztások'!C$2,0)*$I121,0)</f>
        <v>-2646342.0063978843</v>
      </c>
      <c r="O121" s="150">
        <f>IFERROR(VLOOKUP($M121,'1 b felosztások'!$A:$AE,'1 b felosztások'!D$2,0)*$I121,0)</f>
        <v>-425270.87715152424</v>
      </c>
      <c r="P121" s="150">
        <f>IFERROR(VLOOKUP($M121,'1 b felosztások'!$A:$AE,'1 b felosztások'!E$2,0)*$I121,0)</f>
        <v>-72812.976008187237</v>
      </c>
      <c r="Q121" s="150">
        <f>IFERROR(VLOOKUP($M121,'1 b felosztások'!$A:$AE,'1 b felosztások'!F$2,0)*$I121,0)</f>
        <v>-637706.81065314508</v>
      </c>
      <c r="R121" s="150">
        <f>IFERROR(VLOOKUP($M121,'1 b felosztások'!$A:$AE,'1 b felosztások'!G$2,0)*$I121,0)</f>
        <v>-176786.21754419769</v>
      </c>
      <c r="S121" s="150">
        <f>IFERROR(VLOOKUP($M121,'1 b felosztások'!$A:$AE,'1 b felosztások'!H$2,0)*$I121,0)</f>
        <v>-895379.14162641519</v>
      </c>
      <c r="T121" s="150">
        <f>IFERROR(VLOOKUP($M121,'1 b felosztások'!$A:$AE,'1 b felosztások'!I$2,0)*$I121,0)</f>
        <v>-485505.03011699242</v>
      </c>
      <c r="U121" s="150">
        <f>IFERROR(VLOOKUP($M121,'1 b felosztások'!$A:$AE,'1 b felosztások'!J$2,0)*$I121,0)</f>
        <v>-870953.98097249749</v>
      </c>
      <c r="V121" s="150">
        <f>IFERROR(VLOOKUP($M121,'1 b felosztások'!$A:$AE,'1 b felosztások'!K$2,0)*$I121,0)</f>
        <v>-1040394.5624458165</v>
      </c>
      <c r="W121" s="150">
        <f>IFERROR(VLOOKUP($M121,'1 b felosztások'!$A:$AE,'1 b felosztások'!L$2,0)*$I121,0)</f>
        <v>-649361.66222659545</v>
      </c>
      <c r="X121" s="150">
        <f>IFERROR(VLOOKUP($M121,'1 b felosztások'!$A:$AE,'1 b felosztások'!M$2,0)*$I121,0)</f>
        <v>-70976.918856533608</v>
      </c>
      <c r="Y121" s="150">
        <f>IFERROR(VLOOKUP($M121,'1 b felosztások'!$A:$AE,'1 b felosztások'!N$2,0)*$I121,0)</f>
        <v>-1850399.9631636504</v>
      </c>
      <c r="Z121" s="150">
        <f>IFERROR(VLOOKUP($M121,'1 b felosztások'!$A:$AE,'1 b felosztások'!O$2,0)*$I121,0)</f>
        <v>-309939.85283656005</v>
      </c>
      <c r="AA121" s="150">
        <f>IFERROR(VLOOKUP($M121,'1 b felosztások'!$A:$AE,'1 b felosztások'!P$2,0)*$I121,0)</f>
        <v>0</v>
      </c>
      <c r="AB121" s="150">
        <f>IFERROR(VLOOKUP($M121,'1 b felosztások'!$A:$AE,'1 b felosztások'!Q$2,0)*$I121,0)</f>
        <v>0</v>
      </c>
      <c r="AC121" s="150"/>
      <c r="AD121" s="150"/>
      <c r="AE121" s="150"/>
      <c r="AF121" s="150"/>
      <c r="AG121" s="150"/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>
        <f>-I121</f>
        <v>10131830</v>
      </c>
      <c r="AR121" s="150"/>
      <c r="AS121" s="150"/>
      <c r="AT121" s="150"/>
      <c r="AU121" s="150"/>
      <c r="AV121" s="150"/>
      <c r="AW121" s="150"/>
      <c r="AX121" s="150"/>
      <c r="AY121" s="150"/>
      <c r="AZ121" s="150"/>
      <c r="BA121" s="150"/>
      <c r="BB121" s="150"/>
      <c r="BC121" s="170"/>
      <c r="BD121" s="170"/>
      <c r="BE121" s="170"/>
      <c r="BF121" s="170"/>
      <c r="BG121" s="170"/>
      <c r="BH121" s="170"/>
      <c r="BI121" s="170"/>
      <c r="BJ121" s="170"/>
      <c r="BK121" s="167">
        <f t="shared" si="63"/>
        <v>-10131829.999999998</v>
      </c>
      <c r="BL121" s="167">
        <f t="shared" si="64"/>
        <v>0</v>
      </c>
      <c r="BM121" s="167">
        <f t="shared" si="65"/>
        <v>0</v>
      </c>
      <c r="BN121" s="167">
        <f>+SUM(AQ121:BJ121)</f>
        <v>10131830</v>
      </c>
    </row>
    <row r="122" spans="1:66" s="171" customFormat="1" hidden="1" outlineLevel="1" collapsed="1" x14ac:dyDescent="0.3">
      <c r="A122" s="185" t="s">
        <v>3759</v>
      </c>
      <c r="B122" s="183" t="str">
        <f>+E122</f>
        <v>Karok közötti belső átoktatási megállapodások</v>
      </c>
      <c r="C122" s="183" t="s">
        <v>63</v>
      </c>
      <c r="D122" s="183" t="s">
        <v>3899</v>
      </c>
      <c r="E122" s="164" t="str">
        <f>VLOOKUP(A122,'Bevétel 2a SZH 2023'!B:C,2,0)</f>
        <v>Karok közötti belső átoktatási megállapodások</v>
      </c>
      <c r="F122" s="164" t="s">
        <v>2696</v>
      </c>
      <c r="G122" s="169"/>
      <c r="H122" s="164" t="s">
        <v>2617</v>
      </c>
      <c r="I122" s="165">
        <f>IFERROR(VLOOKUP($A122,'Bevétel 2a SZH 2023'!$B:$L,MATCH($I$1,'Bevétel 2a SZH 2023'!$B$1:$L$1,0),0), )</f>
        <v>0</v>
      </c>
      <c r="J122" s="165">
        <f t="shared" ref="J122:J127" si="95">SUM(N122:AO122)</f>
        <v>0</v>
      </c>
      <c r="K122" s="150">
        <f t="shared" ref="K122:K127" si="96">+I122-J122</f>
        <v>0</v>
      </c>
      <c r="L122" s="150">
        <f t="shared" si="44"/>
        <v>0</v>
      </c>
      <c r="M122" s="173"/>
      <c r="N122" s="165">
        <f>SUM(N123:N124)</f>
        <v>0</v>
      </c>
      <c r="O122" s="165">
        <f t="shared" ref="O122:AB122" si="97">SUM(O123:O124)</f>
        <v>0</v>
      </c>
      <c r="P122" s="165">
        <f t="shared" si="97"/>
        <v>0</v>
      </c>
      <c r="Q122" s="165">
        <f t="shared" si="97"/>
        <v>0</v>
      </c>
      <c r="R122" s="165">
        <f t="shared" si="97"/>
        <v>0</v>
      </c>
      <c r="S122" s="165">
        <f t="shared" si="97"/>
        <v>0</v>
      </c>
      <c r="T122" s="165">
        <f t="shared" si="97"/>
        <v>0</v>
      </c>
      <c r="U122" s="165">
        <f t="shared" si="97"/>
        <v>0</v>
      </c>
      <c r="V122" s="165">
        <f t="shared" si="97"/>
        <v>0</v>
      </c>
      <c r="W122" s="165">
        <f t="shared" si="97"/>
        <v>0</v>
      </c>
      <c r="X122" s="165">
        <f t="shared" si="97"/>
        <v>0</v>
      </c>
      <c r="Y122" s="165">
        <f t="shared" si="97"/>
        <v>0</v>
      </c>
      <c r="Z122" s="165">
        <f t="shared" si="97"/>
        <v>0</v>
      </c>
      <c r="AA122" s="165">
        <f t="shared" si="97"/>
        <v>0</v>
      </c>
      <c r="AB122" s="165">
        <f t="shared" si="97"/>
        <v>0</v>
      </c>
      <c r="AC122" s="150"/>
      <c r="AD122" s="150"/>
      <c r="AE122" s="150"/>
      <c r="AF122" s="150"/>
      <c r="AG122" s="150"/>
      <c r="AH122" s="150"/>
      <c r="AI122" s="150"/>
      <c r="AJ122" s="150"/>
      <c r="AK122" s="150"/>
      <c r="AL122" s="150"/>
      <c r="AM122" s="150"/>
      <c r="AN122" s="150"/>
      <c r="AO122" s="150"/>
      <c r="AP122" s="165"/>
      <c r="AQ122" s="165"/>
      <c r="AR122" s="150"/>
      <c r="AS122" s="150"/>
      <c r="AT122" s="150"/>
      <c r="AU122" s="150"/>
      <c r="AV122" s="150"/>
      <c r="AW122" s="150"/>
      <c r="AX122" s="150"/>
      <c r="AY122" s="150"/>
      <c r="AZ122" s="150"/>
      <c r="BA122" s="150"/>
      <c r="BB122" s="150"/>
      <c r="BC122" s="170"/>
      <c r="BD122" s="170"/>
      <c r="BE122" s="170"/>
      <c r="BF122" s="170"/>
      <c r="BG122" s="170"/>
      <c r="BH122" s="170"/>
      <c r="BI122" s="170"/>
      <c r="BJ122" s="170"/>
      <c r="BK122" s="167">
        <f t="shared" si="63"/>
        <v>0</v>
      </c>
      <c r="BL122" s="167">
        <f t="shared" si="64"/>
        <v>0</v>
      </c>
      <c r="BM122" s="167">
        <f t="shared" si="65"/>
        <v>0</v>
      </c>
      <c r="BN122" s="167">
        <f t="shared" ref="BN122:BN127" si="98">+SUM(AP122:BJ122)</f>
        <v>0</v>
      </c>
    </row>
    <row r="123" spans="1:66" s="171" customFormat="1" hidden="1" outlineLevel="2" x14ac:dyDescent="0.3">
      <c r="A123" s="169"/>
      <c r="B123" s="169"/>
      <c r="C123" s="169"/>
      <c r="D123" s="169"/>
      <c r="E123" s="169" t="s">
        <v>3903</v>
      </c>
      <c r="F123" s="169" t="s">
        <v>63</v>
      </c>
      <c r="G123" s="169"/>
      <c r="H123" s="169"/>
      <c r="I123" s="150">
        <f>I122*0.5</f>
        <v>0</v>
      </c>
      <c r="J123" s="165">
        <f t="shared" si="95"/>
        <v>0</v>
      </c>
      <c r="K123" s="150">
        <f t="shared" si="96"/>
        <v>0</v>
      </c>
      <c r="L123" s="150">
        <f t="shared" si="44"/>
        <v>0</v>
      </c>
      <c r="M123" s="175">
        <v>3</v>
      </c>
      <c r="N123" s="150">
        <f>IFERROR(VLOOKUP($M123,'1 b felosztások'!$A:$AE,'1 b felosztások'!C$2,0)*$I123,0)</f>
        <v>0</v>
      </c>
      <c r="O123" s="150">
        <f>IFERROR(VLOOKUP($M123,'1 b felosztások'!$A:$AE,'1 b felosztások'!D$2,0)*$I123,0)</f>
        <v>0</v>
      </c>
      <c r="P123" s="150">
        <f>IFERROR(VLOOKUP($M123,'1 b felosztások'!$A:$AE,'1 b felosztások'!E$2,0)*$I123,0)</f>
        <v>0</v>
      </c>
      <c r="Q123" s="150">
        <f>IFERROR(VLOOKUP($M123,'1 b felosztások'!$A:$AE,'1 b felosztások'!F$2,0)*$I123,0)</f>
        <v>0</v>
      </c>
      <c r="R123" s="150">
        <f>IFERROR(VLOOKUP($M123,'1 b felosztások'!$A:$AE,'1 b felosztások'!G$2,0)*$I123,0)</f>
        <v>0</v>
      </c>
      <c r="S123" s="150">
        <f>IFERROR(VLOOKUP($M123,'1 b felosztások'!$A:$AE,'1 b felosztások'!H$2,0)*$I123,0)</f>
        <v>0</v>
      </c>
      <c r="T123" s="150">
        <f>IFERROR(VLOOKUP($M123,'1 b felosztások'!$A:$AE,'1 b felosztások'!I$2,0)*$I123,0)</f>
        <v>0</v>
      </c>
      <c r="U123" s="150">
        <f>IFERROR(VLOOKUP($M123,'1 b felosztások'!$A:$AE,'1 b felosztások'!J$2,0)*$I123,0)</f>
        <v>0</v>
      </c>
      <c r="V123" s="150">
        <f>IFERROR(VLOOKUP($M123,'1 b felosztások'!$A:$AE,'1 b felosztások'!K$2,0)*$I123,0)</f>
        <v>0</v>
      </c>
      <c r="W123" s="150">
        <f>IFERROR(VLOOKUP($M123,'1 b felosztások'!$A:$AE,'1 b felosztások'!L$2,0)*$I123,0)</f>
        <v>0</v>
      </c>
      <c r="X123" s="150">
        <f>IFERROR(VLOOKUP($M123,'1 b felosztások'!$A:$AE,'1 b felosztások'!M$2,0)*$I123,0)</f>
        <v>0</v>
      </c>
      <c r="Y123" s="150">
        <f>IFERROR(VLOOKUP($M123,'1 b felosztások'!$A:$AE,'1 b felosztások'!N$2,0)*$I123,0)</f>
        <v>0</v>
      </c>
      <c r="Z123" s="150">
        <f>IFERROR(VLOOKUP($M123,'1 b felosztások'!$A:$AE,'1 b felosztások'!O$2,0)*$I123,0)</f>
        <v>0</v>
      </c>
      <c r="AA123" s="150">
        <f>IFERROR(VLOOKUP($M123,'1 b felosztások'!$A:$AE,'1 b felosztások'!P$2,0)*$I123,0)</f>
        <v>0</v>
      </c>
      <c r="AB123" s="150">
        <f>IFERROR(VLOOKUP($M123,'1 b felosztások'!$A:$AE,'1 b felosztások'!Q$2,0)*$I123,0)</f>
        <v>0</v>
      </c>
      <c r="AC123" s="150"/>
      <c r="AD123" s="150"/>
      <c r="AE123" s="150"/>
      <c r="AF123" s="150"/>
      <c r="AG123" s="150"/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150"/>
      <c r="AV123" s="150"/>
      <c r="AW123" s="150"/>
      <c r="AX123" s="150"/>
      <c r="AY123" s="150"/>
      <c r="AZ123" s="150"/>
      <c r="BA123" s="150"/>
      <c r="BB123" s="150"/>
      <c r="BC123" s="170"/>
      <c r="BD123" s="170"/>
      <c r="BE123" s="170"/>
      <c r="BF123" s="170"/>
      <c r="BG123" s="170"/>
      <c r="BH123" s="170"/>
      <c r="BI123" s="170"/>
      <c r="BJ123" s="170"/>
      <c r="BK123" s="167">
        <f t="shared" si="63"/>
        <v>0</v>
      </c>
      <c r="BL123" s="167">
        <f t="shared" si="64"/>
        <v>0</v>
      </c>
      <c r="BM123" s="167">
        <f t="shared" si="65"/>
        <v>0</v>
      </c>
      <c r="BN123" s="167">
        <f t="shared" si="98"/>
        <v>0</v>
      </c>
    </row>
    <row r="124" spans="1:66" s="171" customFormat="1" hidden="1" outlineLevel="2" x14ac:dyDescent="0.3">
      <c r="A124" s="169"/>
      <c r="B124" s="169"/>
      <c r="C124" s="169"/>
      <c r="D124" s="169"/>
      <c r="E124" s="169" t="s">
        <v>3904</v>
      </c>
      <c r="F124" s="169" t="s">
        <v>63</v>
      </c>
      <c r="G124" s="169"/>
      <c r="H124" s="169"/>
      <c r="I124" s="150">
        <f>I122*0.5</f>
        <v>0</v>
      </c>
      <c r="J124" s="165">
        <f t="shared" si="95"/>
        <v>0</v>
      </c>
      <c r="K124" s="150">
        <f t="shared" si="96"/>
        <v>0</v>
      </c>
      <c r="L124" s="150">
        <f t="shared" si="44"/>
        <v>0</v>
      </c>
      <c r="M124" s="175">
        <v>3</v>
      </c>
      <c r="N124" s="150">
        <f>IFERROR(VLOOKUP($M124,'1 b felosztások'!$A:$AE,'1 b felosztások'!C$2,0)*$I124,0)</f>
        <v>0</v>
      </c>
      <c r="O124" s="150">
        <f>IFERROR(VLOOKUP($M124,'1 b felosztások'!$A:$AE,'1 b felosztások'!D$2,0)*$I124,0)</f>
        <v>0</v>
      </c>
      <c r="P124" s="150">
        <f>IFERROR(VLOOKUP($M124,'1 b felosztások'!$A:$AE,'1 b felosztások'!E$2,0)*$I124,0)</f>
        <v>0</v>
      </c>
      <c r="Q124" s="150">
        <f>IFERROR(VLOOKUP($M124,'1 b felosztások'!$A:$AE,'1 b felosztások'!F$2,0)*$I124,0)</f>
        <v>0</v>
      </c>
      <c r="R124" s="150">
        <f>IFERROR(VLOOKUP($M124,'1 b felosztások'!$A:$AE,'1 b felosztások'!G$2,0)*$I124,0)</f>
        <v>0</v>
      </c>
      <c r="S124" s="150">
        <f>IFERROR(VLOOKUP($M124,'1 b felosztások'!$A:$AE,'1 b felosztások'!H$2,0)*$I124,0)</f>
        <v>0</v>
      </c>
      <c r="T124" s="150">
        <f>IFERROR(VLOOKUP($M124,'1 b felosztások'!$A:$AE,'1 b felosztások'!I$2,0)*$I124,0)</f>
        <v>0</v>
      </c>
      <c r="U124" s="150">
        <f>IFERROR(VLOOKUP($M124,'1 b felosztások'!$A:$AE,'1 b felosztások'!J$2,0)*$I124,0)</f>
        <v>0</v>
      </c>
      <c r="V124" s="150">
        <f>IFERROR(VLOOKUP($M124,'1 b felosztások'!$A:$AE,'1 b felosztások'!K$2,0)*$I124,0)</f>
        <v>0</v>
      </c>
      <c r="W124" s="150">
        <f>IFERROR(VLOOKUP($M124,'1 b felosztások'!$A:$AE,'1 b felosztások'!L$2,0)*$I124,0)</f>
        <v>0</v>
      </c>
      <c r="X124" s="150">
        <f>IFERROR(VLOOKUP($M124,'1 b felosztások'!$A:$AE,'1 b felosztások'!M$2,0)*$I124,0)</f>
        <v>0</v>
      </c>
      <c r="Y124" s="150">
        <f>IFERROR(VLOOKUP($M124,'1 b felosztások'!$A:$AE,'1 b felosztások'!N$2,0)*$I124,0)</f>
        <v>0</v>
      </c>
      <c r="Z124" s="150">
        <f>IFERROR(VLOOKUP($M124,'1 b felosztások'!$A:$AE,'1 b felosztások'!O$2,0)*$I124,0)</f>
        <v>0</v>
      </c>
      <c r="AA124" s="150">
        <f>IFERROR(VLOOKUP($M124,'1 b felosztások'!$A:$AE,'1 b felosztások'!P$2,0)*$I124,0)</f>
        <v>0</v>
      </c>
      <c r="AB124" s="150">
        <f>IFERROR(VLOOKUP($M124,'1 b felosztások'!$A:$AE,'1 b felosztások'!Q$2,0)*$I124,0)</f>
        <v>0</v>
      </c>
      <c r="AC124" s="150"/>
      <c r="AD124" s="150"/>
      <c r="AE124" s="150"/>
      <c r="AF124" s="150"/>
      <c r="AG124" s="150"/>
      <c r="AH124" s="150"/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150"/>
      <c r="AV124" s="150"/>
      <c r="AW124" s="150"/>
      <c r="AX124" s="150"/>
      <c r="AY124" s="150"/>
      <c r="AZ124" s="150"/>
      <c r="BA124" s="150"/>
      <c r="BB124" s="150"/>
      <c r="BC124" s="170"/>
      <c r="BD124" s="170"/>
      <c r="BE124" s="170"/>
      <c r="BF124" s="170"/>
      <c r="BG124" s="170"/>
      <c r="BH124" s="170"/>
      <c r="BI124" s="170"/>
      <c r="BJ124" s="170"/>
      <c r="BK124" s="167">
        <f t="shared" si="63"/>
        <v>0</v>
      </c>
      <c r="BL124" s="167">
        <f t="shared" si="64"/>
        <v>0</v>
      </c>
      <c r="BM124" s="167">
        <f t="shared" si="65"/>
        <v>0</v>
      </c>
      <c r="BN124" s="167">
        <f t="shared" si="98"/>
        <v>0</v>
      </c>
    </row>
    <row r="125" spans="1:66" s="171" customFormat="1" hidden="1" outlineLevel="1" collapsed="1" x14ac:dyDescent="0.3">
      <c r="A125" s="169"/>
      <c r="B125" s="169"/>
      <c r="C125" s="169"/>
      <c r="D125" s="169"/>
      <c r="E125" s="183" t="s">
        <v>3892</v>
      </c>
      <c r="F125" s="164" t="s">
        <v>2696</v>
      </c>
      <c r="G125" s="164"/>
      <c r="H125" s="164" t="s">
        <v>2617</v>
      </c>
      <c r="I125" s="165">
        <f>-I272</f>
        <v>0</v>
      </c>
      <c r="J125" s="165">
        <f t="shared" si="95"/>
        <v>0</v>
      </c>
      <c r="K125" s="150">
        <f t="shared" si="96"/>
        <v>0</v>
      </c>
      <c r="L125" s="150">
        <f t="shared" si="44"/>
        <v>0</v>
      </c>
      <c r="M125" s="173"/>
      <c r="N125" s="150">
        <f>SUM(N126:N127)</f>
        <v>0</v>
      </c>
      <c r="O125" s="150">
        <f>SUM(O126:O127)</f>
        <v>0</v>
      </c>
      <c r="P125" s="150">
        <f t="shared" ref="P125:Y125" si="99">SUM(P126:P127)</f>
        <v>0</v>
      </c>
      <c r="Q125" s="150">
        <f t="shared" si="99"/>
        <v>0</v>
      </c>
      <c r="R125" s="150">
        <f t="shared" si="99"/>
        <v>0</v>
      </c>
      <c r="S125" s="150">
        <f t="shared" si="99"/>
        <v>0</v>
      </c>
      <c r="T125" s="150">
        <f t="shared" si="99"/>
        <v>0</v>
      </c>
      <c r="U125" s="150">
        <f t="shared" si="99"/>
        <v>0</v>
      </c>
      <c r="V125" s="150">
        <f t="shared" si="99"/>
        <v>0</v>
      </c>
      <c r="W125" s="150">
        <f t="shared" si="99"/>
        <v>0</v>
      </c>
      <c r="X125" s="150">
        <f t="shared" si="99"/>
        <v>0</v>
      </c>
      <c r="Y125" s="150">
        <f t="shared" si="99"/>
        <v>0</v>
      </c>
      <c r="Z125" s="150">
        <f>SUM(Z126:Z127)</f>
        <v>0</v>
      </c>
      <c r="AA125" s="150">
        <f>SUM(AA126:AA127)</f>
        <v>0</v>
      </c>
      <c r="AB125" s="150">
        <f>SUM(AB126:AB127)</f>
        <v>0</v>
      </c>
      <c r="AC125" s="150"/>
      <c r="AD125" s="150"/>
      <c r="AE125" s="150"/>
      <c r="AF125" s="150"/>
      <c r="AG125" s="150"/>
      <c r="AH125" s="150"/>
      <c r="AI125" s="150">
        <v>0</v>
      </c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150"/>
      <c r="AV125" s="150"/>
      <c r="AW125" s="150"/>
      <c r="AX125" s="150"/>
      <c r="AY125" s="150"/>
      <c r="AZ125" s="150"/>
      <c r="BA125" s="150"/>
      <c r="BB125" s="150"/>
      <c r="BC125" s="170"/>
      <c r="BD125" s="170"/>
      <c r="BE125" s="170"/>
      <c r="BF125" s="170"/>
      <c r="BG125" s="170"/>
      <c r="BH125" s="170"/>
      <c r="BI125" s="170"/>
      <c r="BJ125" s="170"/>
      <c r="BK125" s="167">
        <f t="shared" si="63"/>
        <v>0</v>
      </c>
      <c r="BL125" s="167">
        <f t="shared" si="64"/>
        <v>0</v>
      </c>
      <c r="BM125" s="167">
        <f t="shared" si="65"/>
        <v>0</v>
      </c>
      <c r="BN125" s="167">
        <f t="shared" si="98"/>
        <v>0</v>
      </c>
    </row>
    <row r="126" spans="1:66" s="171" customFormat="1" hidden="1" outlineLevel="2" x14ac:dyDescent="0.3">
      <c r="A126" s="169"/>
      <c r="B126" s="169"/>
      <c r="C126" s="169"/>
      <c r="D126" s="169"/>
      <c r="E126" s="186" t="s">
        <v>3893</v>
      </c>
      <c r="F126" s="169" t="s">
        <v>63</v>
      </c>
      <c r="G126" s="169">
        <v>291</v>
      </c>
      <c r="H126" s="169" t="s">
        <v>598</v>
      </c>
      <c r="I126" s="184">
        <f>I125*0.5</f>
        <v>0</v>
      </c>
      <c r="J126" s="150">
        <f t="shared" si="95"/>
        <v>0</v>
      </c>
      <c r="K126" s="150">
        <f t="shared" si="96"/>
        <v>0</v>
      </c>
      <c r="L126" s="150">
        <f t="shared" si="44"/>
        <v>0</v>
      </c>
      <c r="M126" s="175"/>
      <c r="N126" s="150">
        <v>0</v>
      </c>
      <c r="O126" s="150">
        <v>0</v>
      </c>
      <c r="P126" s="150">
        <v>0</v>
      </c>
      <c r="Q126" s="150">
        <v>0</v>
      </c>
      <c r="R126" s="150">
        <v>0</v>
      </c>
      <c r="S126" s="150">
        <v>0</v>
      </c>
      <c r="T126" s="150">
        <v>0</v>
      </c>
      <c r="U126" s="150">
        <v>0</v>
      </c>
      <c r="V126" s="150">
        <v>0</v>
      </c>
      <c r="W126" s="150">
        <v>0</v>
      </c>
      <c r="X126" s="150">
        <v>0</v>
      </c>
      <c r="Y126" s="150">
        <v>0</v>
      </c>
      <c r="Z126" s="150">
        <v>0</v>
      </c>
      <c r="AA126" s="150">
        <v>0</v>
      </c>
      <c r="AB126" s="150">
        <v>0</v>
      </c>
      <c r="AC126" s="150"/>
      <c r="AD126" s="150"/>
      <c r="AE126" s="150"/>
      <c r="AF126" s="150"/>
      <c r="AG126" s="150"/>
      <c r="AH126" s="150"/>
      <c r="AI126" s="150">
        <v>0</v>
      </c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150"/>
      <c r="AV126" s="150"/>
      <c r="AW126" s="150"/>
      <c r="AX126" s="150"/>
      <c r="AY126" s="150"/>
      <c r="AZ126" s="150"/>
      <c r="BA126" s="150"/>
      <c r="BB126" s="150"/>
      <c r="BC126" s="170"/>
      <c r="BD126" s="170"/>
      <c r="BE126" s="170"/>
      <c r="BF126" s="170"/>
      <c r="BG126" s="170"/>
      <c r="BH126" s="170"/>
      <c r="BI126" s="170"/>
      <c r="BJ126" s="170"/>
      <c r="BK126" s="167">
        <f t="shared" si="63"/>
        <v>0</v>
      </c>
      <c r="BL126" s="167">
        <f t="shared" si="64"/>
        <v>0</v>
      </c>
      <c r="BM126" s="167">
        <f t="shared" si="65"/>
        <v>0</v>
      </c>
      <c r="BN126" s="167">
        <f t="shared" si="98"/>
        <v>0</v>
      </c>
    </row>
    <row r="127" spans="1:66" s="171" customFormat="1" hidden="1" outlineLevel="2" x14ac:dyDescent="0.3">
      <c r="A127" s="169"/>
      <c r="B127" s="169"/>
      <c r="C127" s="169"/>
      <c r="D127" s="169"/>
      <c r="E127" s="186" t="s">
        <v>3894</v>
      </c>
      <c r="F127" s="169" t="s">
        <v>63</v>
      </c>
      <c r="G127" s="169">
        <v>337</v>
      </c>
      <c r="H127" s="169" t="s">
        <v>686</v>
      </c>
      <c r="I127" s="184">
        <f>I125*0.5</f>
        <v>0</v>
      </c>
      <c r="J127" s="150">
        <f t="shared" si="95"/>
        <v>0</v>
      </c>
      <c r="K127" s="150">
        <f t="shared" si="96"/>
        <v>0</v>
      </c>
      <c r="L127" s="150">
        <f t="shared" si="44"/>
        <v>0</v>
      </c>
      <c r="M127" s="175"/>
      <c r="N127" s="150">
        <v>0</v>
      </c>
      <c r="O127" s="150">
        <v>0</v>
      </c>
      <c r="P127" s="150">
        <v>0</v>
      </c>
      <c r="Q127" s="150">
        <v>0</v>
      </c>
      <c r="R127" s="150">
        <v>0</v>
      </c>
      <c r="S127" s="150">
        <v>0</v>
      </c>
      <c r="T127" s="150">
        <v>0</v>
      </c>
      <c r="U127" s="150">
        <v>0</v>
      </c>
      <c r="V127" s="150">
        <v>0</v>
      </c>
      <c r="W127" s="150">
        <v>0</v>
      </c>
      <c r="X127" s="150">
        <v>0</v>
      </c>
      <c r="Y127" s="150">
        <v>0</v>
      </c>
      <c r="Z127" s="150">
        <v>0</v>
      </c>
      <c r="AA127" s="150">
        <v>0</v>
      </c>
      <c r="AB127" s="150">
        <v>0</v>
      </c>
      <c r="AC127" s="150"/>
      <c r="AD127" s="150"/>
      <c r="AE127" s="150"/>
      <c r="AF127" s="150"/>
      <c r="AG127" s="150"/>
      <c r="AH127" s="150"/>
      <c r="AI127" s="150">
        <v>0</v>
      </c>
      <c r="AJ127" s="150"/>
      <c r="AK127" s="150"/>
      <c r="AL127" s="150"/>
      <c r="AM127" s="150"/>
      <c r="AN127" s="150"/>
      <c r="AO127" s="150"/>
      <c r="AP127" s="150"/>
      <c r="AQ127" s="150"/>
      <c r="AR127" s="150"/>
      <c r="AS127" s="150"/>
      <c r="AT127" s="150"/>
      <c r="AU127" s="150"/>
      <c r="AV127" s="150"/>
      <c r="AW127" s="150"/>
      <c r="AX127" s="150"/>
      <c r="AY127" s="150"/>
      <c r="AZ127" s="150"/>
      <c r="BA127" s="150"/>
      <c r="BB127" s="150"/>
      <c r="BC127" s="170"/>
      <c r="BD127" s="170"/>
      <c r="BE127" s="170"/>
      <c r="BF127" s="170"/>
      <c r="BG127" s="170"/>
      <c r="BH127" s="170"/>
      <c r="BI127" s="170"/>
      <c r="BJ127" s="170"/>
      <c r="BK127" s="167">
        <f t="shared" si="63"/>
        <v>0</v>
      </c>
      <c r="BL127" s="167">
        <f t="shared" si="64"/>
        <v>0</v>
      </c>
      <c r="BM127" s="167">
        <f t="shared" si="65"/>
        <v>0</v>
      </c>
      <c r="BN127" s="167">
        <f t="shared" si="98"/>
        <v>0</v>
      </c>
    </row>
    <row r="128" spans="1:66" s="171" customFormat="1" hidden="1" outlineLevel="1" x14ac:dyDescent="0.3">
      <c r="A128" s="169"/>
      <c r="B128" s="169"/>
      <c r="C128" s="169"/>
      <c r="D128" s="169"/>
      <c r="E128" s="183" t="s">
        <v>2806</v>
      </c>
      <c r="F128" s="169" t="s">
        <v>2696</v>
      </c>
      <c r="G128" s="169">
        <v>1</v>
      </c>
      <c r="H128" s="164" t="s">
        <v>2669</v>
      </c>
      <c r="I128" s="165">
        <f>-I125</f>
        <v>0</v>
      </c>
      <c r="J128" s="165"/>
      <c r="K128" s="150">
        <f t="shared" ref="K128" si="100">+I128-J128</f>
        <v>0</v>
      </c>
      <c r="L128" s="150"/>
      <c r="M128" s="173"/>
      <c r="N128" s="150"/>
      <c r="O128" s="150"/>
      <c r="P128" s="150"/>
      <c r="Q128" s="150"/>
      <c r="R128" s="150"/>
      <c r="S128" s="150"/>
      <c r="T128" s="150"/>
      <c r="U128" s="150"/>
      <c r="V128" s="150"/>
      <c r="W128" s="150"/>
      <c r="X128" s="150"/>
      <c r="Y128" s="150"/>
      <c r="Z128" s="150"/>
      <c r="AA128" s="150"/>
      <c r="AB128" s="150"/>
      <c r="AC128" s="150"/>
      <c r="AD128" s="150"/>
      <c r="AE128" s="150"/>
      <c r="AF128" s="150"/>
      <c r="AG128" s="150"/>
      <c r="AH128" s="150"/>
      <c r="AI128" s="150"/>
      <c r="AJ128" s="150"/>
      <c r="AK128" s="150"/>
      <c r="AL128" s="150"/>
      <c r="AM128" s="150"/>
      <c r="AN128" s="150"/>
      <c r="AO128" s="150"/>
      <c r="AP128" s="150"/>
      <c r="AQ128" s="150"/>
      <c r="AR128" s="150"/>
      <c r="AS128" s="150"/>
      <c r="AT128" s="150"/>
      <c r="AU128" s="150"/>
      <c r="AV128" s="150"/>
      <c r="AW128" s="150"/>
      <c r="AX128" s="150"/>
      <c r="AY128" s="150"/>
      <c r="AZ128" s="150"/>
      <c r="BA128" s="150"/>
      <c r="BB128" s="150"/>
      <c r="BC128" s="170"/>
      <c r="BD128" s="170"/>
      <c r="BE128" s="170"/>
      <c r="BF128" s="170"/>
      <c r="BG128" s="170"/>
      <c r="BH128" s="170"/>
      <c r="BI128" s="170"/>
      <c r="BJ128" s="170"/>
      <c r="BK128" s="167"/>
      <c r="BL128" s="167"/>
      <c r="BM128" s="167"/>
      <c r="BN128" s="167"/>
    </row>
    <row r="129" spans="1:66" s="171" customFormat="1" hidden="1" outlineLevel="1" collapsed="1" x14ac:dyDescent="0.3">
      <c r="A129" s="169"/>
      <c r="B129" s="169"/>
      <c r="C129" s="169"/>
      <c r="D129" s="169"/>
      <c r="E129" s="183" t="s">
        <v>2691</v>
      </c>
      <c r="F129" s="164" t="s">
        <v>2696</v>
      </c>
      <c r="G129" s="164"/>
      <c r="H129" s="164" t="s">
        <v>2617</v>
      </c>
      <c r="I129" s="165">
        <f>-VLOOKUP($I$1,'7.'!$A:$O,12,0)</f>
        <v>-150400572.10858312</v>
      </c>
      <c r="J129" s="165">
        <f>SUM(N129:AO129)</f>
        <v>-4</v>
      </c>
      <c r="K129" s="150">
        <f>+I129-J129</f>
        <v>-150400568.10858312</v>
      </c>
      <c r="L129" s="150">
        <f>SUM(N129:BJ129)</f>
        <v>-4</v>
      </c>
      <c r="M129" s="173"/>
      <c r="N129" s="150">
        <f>SUM(N130:N131)</f>
        <v>-38990504.345227942</v>
      </c>
      <c r="O129" s="150">
        <f>SUM(O130:O131)</f>
        <v>-9412773.5650690105</v>
      </c>
      <c r="P129" s="150">
        <f t="shared" ref="P129:Y129" si="101">SUM(P130:P131)</f>
        <v>-2016244.110347135</v>
      </c>
      <c r="Q129" s="150">
        <f t="shared" si="101"/>
        <v>-11326695.802927645</v>
      </c>
      <c r="R129" s="150">
        <f t="shared" si="101"/>
        <v>-4372163.2892011702</v>
      </c>
      <c r="S129" s="150">
        <f t="shared" si="101"/>
        <v>-8539682.8334253449</v>
      </c>
      <c r="T129" s="150">
        <f t="shared" si="101"/>
        <v>-5865894.8867586786</v>
      </c>
      <c r="U129" s="150">
        <f t="shared" si="101"/>
        <v>-10464508.221631117</v>
      </c>
      <c r="V129" s="150">
        <f t="shared" si="101"/>
        <v>-15651052.971375993</v>
      </c>
      <c r="W129" s="150">
        <f t="shared" si="101"/>
        <v>-10884698.861932248</v>
      </c>
      <c r="X129" s="150">
        <f t="shared" si="101"/>
        <v>-4248035.1160184024</v>
      </c>
      <c r="Y129" s="150">
        <f t="shared" si="101"/>
        <v>-23248032.651710577</v>
      </c>
      <c r="Z129" s="150">
        <f t="shared" ref="Z129:AA129" si="102">SUM(Z130:Z131)</f>
        <v>-5380285.3443747396</v>
      </c>
      <c r="AA129" s="150">
        <f t="shared" si="102"/>
        <v>0</v>
      </c>
      <c r="AB129" s="150">
        <f t="shared" ref="AB129" si="103">SUM(AB130:AB131)</f>
        <v>0</v>
      </c>
      <c r="AC129" s="150"/>
      <c r="AD129" s="150"/>
      <c r="AE129" s="150"/>
      <c r="AF129" s="150"/>
      <c r="AG129" s="150"/>
      <c r="AH129" s="150"/>
      <c r="AI129" s="150"/>
      <c r="AJ129" s="150"/>
      <c r="AK129" s="150"/>
      <c r="AL129" s="150"/>
      <c r="AM129" s="150">
        <f t="shared" ref="AM129:AO129" si="104">SUM(AM130:AM131)</f>
        <v>618591</v>
      </c>
      <c r="AN129" s="150">
        <f>SUM(AN130:AN131)</f>
        <v>17322394</v>
      </c>
      <c r="AO129" s="150">
        <f t="shared" si="104"/>
        <v>132459583</v>
      </c>
      <c r="AP129" s="150"/>
      <c r="AQ129" s="150"/>
      <c r="AR129" s="150"/>
      <c r="AS129" s="150"/>
      <c r="AT129" s="150"/>
      <c r="AU129" s="150"/>
      <c r="AV129" s="150"/>
      <c r="AW129" s="150"/>
      <c r="AX129" s="150"/>
      <c r="AY129" s="150"/>
      <c r="AZ129" s="150"/>
      <c r="BA129" s="150"/>
      <c r="BB129" s="150"/>
      <c r="BC129" s="170"/>
      <c r="BD129" s="170"/>
      <c r="BE129" s="170"/>
      <c r="BF129" s="170"/>
      <c r="BG129" s="170"/>
      <c r="BH129" s="170"/>
      <c r="BI129" s="170"/>
      <c r="BJ129" s="170"/>
      <c r="BK129" s="167">
        <f>+SUM(N129:AA129)</f>
        <v>-150400572</v>
      </c>
      <c r="BL129" s="167">
        <f>+AB129</f>
        <v>0</v>
      </c>
      <c r="BM129" s="167">
        <f>+SUM(AC129:AO129)</f>
        <v>150400568</v>
      </c>
      <c r="BN129" s="167">
        <f>+SUM(AP129:BJ129)</f>
        <v>0</v>
      </c>
    </row>
    <row r="130" spans="1:66" s="171" customFormat="1" hidden="1" outlineLevel="2" x14ac:dyDescent="0.3">
      <c r="A130" s="169"/>
      <c r="B130" s="169"/>
      <c r="C130" s="169"/>
      <c r="D130" s="169"/>
      <c r="E130" s="186" t="s">
        <v>2692</v>
      </c>
      <c r="F130" s="169" t="s">
        <v>63</v>
      </c>
      <c r="G130" s="169">
        <v>288</v>
      </c>
      <c r="H130" s="169" t="s">
        <v>112</v>
      </c>
      <c r="I130" s="150"/>
      <c r="J130" s="165">
        <f t="shared" ref="J130:J132" si="105">SUM(N130:AO130)</f>
        <v>0</v>
      </c>
      <c r="K130" s="150">
        <f>+I130-J130</f>
        <v>0</v>
      </c>
      <c r="L130" s="150">
        <f>SUM(N130:BJ130)</f>
        <v>0</v>
      </c>
      <c r="M130" s="542">
        <v>2</v>
      </c>
      <c r="N130" s="150">
        <f>IFERROR(VLOOKUP($M130,'1 b felosztások'!$A:$AE,'1 b felosztások'!C$2,0)*$I130,0)</f>
        <v>0</v>
      </c>
      <c r="O130" s="150">
        <f>IFERROR(VLOOKUP($M130,'1 b felosztások'!$A:$AE,'1 b felosztások'!D$2,0)*$I130,0)</f>
        <v>0</v>
      </c>
      <c r="P130" s="150">
        <f>IFERROR(VLOOKUP($M130,'1 b felosztások'!$A:$AE,'1 b felosztások'!E$2,0)*$I130,0)</f>
        <v>0</v>
      </c>
      <c r="Q130" s="150">
        <f>IFERROR(VLOOKUP($M130,'1 b felosztások'!$A:$AE,'1 b felosztások'!F$2,0)*$I130,0)</f>
        <v>0</v>
      </c>
      <c r="R130" s="150">
        <f>IFERROR(VLOOKUP($M130,'1 b felosztások'!$A:$AE,'1 b felosztások'!G$2,0)*$I130,0)</f>
        <v>0</v>
      </c>
      <c r="S130" s="150">
        <f>IFERROR(VLOOKUP($M130,'1 b felosztások'!$A:$AE,'1 b felosztások'!H$2,0)*$I130,0)</f>
        <v>0</v>
      </c>
      <c r="T130" s="150">
        <f>IFERROR(VLOOKUP($M130,'1 b felosztások'!$A:$AE,'1 b felosztások'!I$2,0)*$I130,0)</f>
        <v>0</v>
      </c>
      <c r="U130" s="150">
        <f>IFERROR(VLOOKUP($M130,'1 b felosztások'!$A:$AE,'1 b felosztások'!J$2,0)*$I130,0)</f>
        <v>0</v>
      </c>
      <c r="V130" s="150">
        <f>IFERROR(VLOOKUP($M130,'1 b felosztások'!$A:$AE,'1 b felosztások'!K$2,0)*$I130,0)</f>
        <v>0</v>
      </c>
      <c r="W130" s="150">
        <f>IFERROR(VLOOKUP($M130,'1 b felosztások'!$A:$AE,'1 b felosztások'!L$2,0)*$I130,0)</f>
        <v>0</v>
      </c>
      <c r="X130" s="150">
        <f>IFERROR(VLOOKUP($M130,'1 b felosztások'!$A:$AE,'1 b felosztások'!M$2,0)*$I130,0)</f>
        <v>0</v>
      </c>
      <c r="Y130" s="150">
        <f>IFERROR(VLOOKUP($M130,'1 b felosztások'!$A:$AE,'1 b felosztások'!N$2,0)*$I130,0)</f>
        <v>0</v>
      </c>
      <c r="Z130" s="150">
        <f>IFERROR(VLOOKUP($M130,'1 b felosztások'!$A:$AE,'1 b felosztások'!O$2,0)*$I130,0)</f>
        <v>0</v>
      </c>
      <c r="AA130" s="150">
        <f>IFERROR(VLOOKUP($M130,'1 b felosztások'!$A:$AE,'1 b felosztások'!P$2,0)*$I130,0)</f>
        <v>0</v>
      </c>
      <c r="AB130" s="150">
        <f>IFERROR(VLOOKUP($M130,'1 b felosztások'!$A:$AE,'1 b felosztások'!Q$2,0)*$I130,0)</f>
        <v>0</v>
      </c>
      <c r="AC130" s="150">
        <f>IFERROR(VLOOKUP($M130,'1 b felosztások'!$A:$AE,'1 b felosztások'!R$2,0)*$I130,0)</f>
        <v>0</v>
      </c>
      <c r="AD130" s="150">
        <f>IFERROR(VLOOKUP($M130,'1 b felosztások'!$A:$AE,'1 b felosztások'!S$2,0)*$I130,0)</f>
        <v>0</v>
      </c>
      <c r="AE130" s="150">
        <f>IFERROR(VLOOKUP($M130,'1 b felosztások'!$A:$AE,'1 b felosztások'!T$2,0)*$I130,0)</f>
        <v>0</v>
      </c>
      <c r="AF130" s="150"/>
      <c r="AG130" s="150"/>
      <c r="AH130" s="150"/>
      <c r="AI130" s="150"/>
      <c r="AJ130" s="150"/>
      <c r="AK130" s="150"/>
      <c r="AL130" s="150"/>
      <c r="AM130" s="184"/>
      <c r="AN130" s="184"/>
      <c r="AO130" s="184"/>
      <c r="AP130" s="150"/>
      <c r="AQ130" s="150"/>
      <c r="AR130" s="150"/>
      <c r="AS130" s="150"/>
      <c r="AT130" s="150"/>
      <c r="AU130" s="150"/>
      <c r="AV130" s="150"/>
      <c r="AW130" s="150"/>
      <c r="AX130" s="150"/>
      <c r="AY130" s="150"/>
      <c r="AZ130" s="150"/>
      <c r="BA130" s="150"/>
      <c r="BB130" s="150"/>
      <c r="BC130" s="170"/>
      <c r="BD130" s="170"/>
      <c r="BE130" s="170"/>
      <c r="BF130" s="170"/>
      <c r="BG130" s="170"/>
      <c r="BH130" s="170"/>
      <c r="BI130" s="170"/>
      <c r="BJ130" s="170"/>
      <c r="BK130" s="167">
        <f>+SUM(N130:AA130)</f>
        <v>0</v>
      </c>
      <c r="BL130" s="167">
        <f>+AB130</f>
        <v>0</v>
      </c>
      <c r="BM130" s="167">
        <f>+SUM(AC130:AO130)</f>
        <v>0</v>
      </c>
      <c r="BN130" s="167">
        <f>+SUM(AP130:BJ130)</f>
        <v>0</v>
      </c>
    </row>
    <row r="131" spans="1:66" s="171" customFormat="1" hidden="1" outlineLevel="2" x14ac:dyDescent="0.3">
      <c r="A131" s="169"/>
      <c r="B131" s="169"/>
      <c r="C131" s="169"/>
      <c r="D131" s="169"/>
      <c r="E131" s="186" t="s">
        <v>2693</v>
      </c>
      <c r="F131" s="169" t="s">
        <v>63</v>
      </c>
      <c r="G131" s="169">
        <v>350</v>
      </c>
      <c r="H131" s="169" t="s">
        <v>113</v>
      </c>
      <c r="I131" s="150">
        <v>-150400572</v>
      </c>
      <c r="J131" s="165">
        <f t="shared" si="105"/>
        <v>-4</v>
      </c>
      <c r="K131" s="150">
        <f t="shared" ref="K131:K135" si="106">+I131-J131</f>
        <v>-150400568</v>
      </c>
      <c r="L131" s="150">
        <f>SUM(N131:BJ131)</f>
        <v>-4</v>
      </c>
      <c r="M131" s="542">
        <v>9</v>
      </c>
      <c r="N131" s="150">
        <f>IFERROR(VLOOKUP($M131,'1 b felosztások'!$A:$AE,'1 b felosztások'!C$2,0)*$I131,0)</f>
        <v>-38990504.345227942</v>
      </c>
      <c r="O131" s="150">
        <f>IFERROR(VLOOKUP($M131,'1 b felosztások'!$A:$AE,'1 b felosztások'!D$2,0)*$I131,0)</f>
        <v>-9412773.5650690105</v>
      </c>
      <c r="P131" s="150">
        <f>IFERROR(VLOOKUP($M131,'1 b felosztások'!$A:$AE,'1 b felosztások'!E$2,0)*$I131,0)</f>
        <v>-2016244.110347135</v>
      </c>
      <c r="Q131" s="150">
        <f>IFERROR(VLOOKUP($M131,'1 b felosztások'!$A:$AE,'1 b felosztások'!F$2,0)*$I131,0)</f>
        <v>-11326695.802927645</v>
      </c>
      <c r="R131" s="150">
        <f>IFERROR(VLOOKUP($M131,'1 b felosztások'!$A:$AE,'1 b felosztások'!G$2,0)*$I131,0)</f>
        <v>-4372163.2892011702</v>
      </c>
      <c r="S131" s="150">
        <f>IFERROR(VLOOKUP($M131,'1 b felosztások'!$A:$AE,'1 b felosztások'!H$2,0)*$I131,0)</f>
        <v>-8539682.8334253449</v>
      </c>
      <c r="T131" s="150">
        <f>IFERROR(VLOOKUP($M131,'1 b felosztások'!$A:$AE,'1 b felosztások'!I$2,0)*$I131,0)</f>
        <v>-5865894.8867586786</v>
      </c>
      <c r="U131" s="150">
        <f>IFERROR(VLOOKUP($M131,'1 b felosztások'!$A:$AE,'1 b felosztások'!J$2,0)*$I131,0)</f>
        <v>-10464508.221631117</v>
      </c>
      <c r="V131" s="150">
        <f>IFERROR(VLOOKUP($M131,'1 b felosztások'!$A:$AE,'1 b felosztások'!K$2,0)*$I131,0)</f>
        <v>-15651052.971375993</v>
      </c>
      <c r="W131" s="150">
        <f>IFERROR(VLOOKUP($M131,'1 b felosztások'!$A:$AE,'1 b felosztások'!L$2,0)*$I131,0)</f>
        <v>-10884698.861932248</v>
      </c>
      <c r="X131" s="150">
        <f>IFERROR(VLOOKUP($M131,'1 b felosztások'!$A:$AE,'1 b felosztások'!M$2,0)*$I131,0)</f>
        <v>-4248035.1160184024</v>
      </c>
      <c r="Y131" s="150">
        <f>IFERROR(VLOOKUP($M131,'1 b felosztások'!$A:$AE,'1 b felosztások'!N$2,0)*$I131,0)</f>
        <v>-23248032.651710577</v>
      </c>
      <c r="Z131" s="150">
        <f>IFERROR(VLOOKUP($M131,'1 b felosztások'!$A:$AE,'1 b felosztások'!O$2,0)*$I131,0)</f>
        <v>-5380285.3443747396</v>
      </c>
      <c r="AA131" s="150">
        <f>IFERROR(VLOOKUP($M131,'1 b felosztások'!$A:$AE,'1 b felosztások'!P$2,0)*$I131,0)</f>
        <v>0</v>
      </c>
      <c r="AB131" s="150">
        <f>IFERROR(VLOOKUP($M131,'1 b felosztások'!$A:$AE,'1 b felosztások'!Q$2,0)*$I131,0)</f>
        <v>0</v>
      </c>
      <c r="AC131" s="150">
        <f>IFERROR(VLOOKUP($M131,'1 b felosztások'!$A:$AE,'1 b felosztások'!R$2,0)*$I131,0)</f>
        <v>0</v>
      </c>
      <c r="AD131" s="150">
        <f>IFERROR(VLOOKUP($M131,'1 b felosztások'!$A:$AE,'1 b felosztások'!S$2,0)*$I131,0)</f>
        <v>0</v>
      </c>
      <c r="AE131" s="150">
        <f>IFERROR(VLOOKUP($M131,'1 b felosztások'!$A:$AE,'1 b felosztások'!T$2,0)*$I131,0)</f>
        <v>0</v>
      </c>
      <c r="AF131" s="150"/>
      <c r="AG131" s="150"/>
      <c r="AH131" s="150"/>
      <c r="AI131" s="150"/>
      <c r="AJ131" s="150"/>
      <c r="AK131" s="150"/>
      <c r="AL131" s="150"/>
      <c r="AM131" s="184">
        <v>618591</v>
      </c>
      <c r="AN131" s="184">
        <v>17322394</v>
      </c>
      <c r="AO131" s="184">
        <v>132459583</v>
      </c>
      <c r="AP131" s="150"/>
      <c r="AQ131" s="150"/>
      <c r="AR131" s="150"/>
      <c r="AS131" s="150"/>
      <c r="AT131" s="150"/>
      <c r="AU131" s="150"/>
      <c r="AV131" s="150"/>
      <c r="AW131" s="150"/>
      <c r="AX131" s="150"/>
      <c r="AY131" s="150"/>
      <c r="AZ131" s="150"/>
      <c r="BA131" s="150"/>
      <c r="BB131" s="150"/>
      <c r="BC131" s="170"/>
      <c r="BD131" s="170"/>
      <c r="BE131" s="170"/>
      <c r="BF131" s="170"/>
      <c r="BG131" s="170"/>
      <c r="BH131" s="170"/>
      <c r="BI131" s="170"/>
      <c r="BJ131" s="170"/>
      <c r="BK131" s="167">
        <f>+SUM(N131:AA131)</f>
        <v>-150400572</v>
      </c>
      <c r="BL131" s="167">
        <f>+AB131</f>
        <v>0</v>
      </c>
      <c r="BM131" s="167">
        <f>+SUM(AC131:AO131)</f>
        <v>150400568</v>
      </c>
      <c r="BN131" s="167">
        <f>+SUM(AP131:BJ131)</f>
        <v>0</v>
      </c>
    </row>
    <row r="132" spans="1:66" s="171" customFormat="1" hidden="1" outlineLevel="2" x14ac:dyDescent="0.3">
      <c r="A132" s="169"/>
      <c r="B132" s="169"/>
      <c r="C132" s="169"/>
      <c r="D132" s="169"/>
      <c r="E132" s="183" t="s">
        <v>2807</v>
      </c>
      <c r="F132" s="169" t="s">
        <v>2696</v>
      </c>
      <c r="G132" s="169">
        <v>1</v>
      </c>
      <c r="H132" s="164" t="s">
        <v>2669</v>
      </c>
      <c r="I132" s="165">
        <f>-I129</f>
        <v>150400572.10858312</v>
      </c>
      <c r="J132" s="165">
        <f t="shared" si="105"/>
        <v>0</v>
      </c>
      <c r="K132" s="150">
        <f t="shared" si="106"/>
        <v>150400572.10858312</v>
      </c>
      <c r="L132" s="150"/>
      <c r="M132" s="173"/>
      <c r="N132" s="150"/>
      <c r="O132" s="150"/>
      <c r="P132" s="150"/>
      <c r="Q132" s="150"/>
      <c r="R132" s="150"/>
      <c r="S132" s="150"/>
      <c r="T132" s="150"/>
      <c r="U132" s="150"/>
      <c r="V132" s="150"/>
      <c r="W132" s="150"/>
      <c r="X132" s="150"/>
      <c r="Y132" s="150"/>
      <c r="Z132" s="150"/>
      <c r="AA132" s="150"/>
      <c r="AB132" s="150"/>
      <c r="AC132" s="150"/>
      <c r="AD132" s="150"/>
      <c r="AE132" s="150"/>
      <c r="AF132" s="150"/>
      <c r="AG132" s="150"/>
      <c r="AH132" s="150"/>
      <c r="AI132" s="150"/>
      <c r="AJ132" s="150"/>
      <c r="AK132" s="150"/>
      <c r="AL132" s="150"/>
      <c r="AM132" s="150"/>
      <c r="AN132" s="150"/>
      <c r="AO132" s="150"/>
      <c r="AP132" s="150"/>
      <c r="AQ132" s="150"/>
      <c r="AR132" s="150"/>
      <c r="AS132" s="150"/>
      <c r="AT132" s="150"/>
      <c r="AU132" s="150"/>
      <c r="AV132" s="150"/>
      <c r="AW132" s="150"/>
      <c r="AX132" s="150"/>
      <c r="AY132" s="150"/>
      <c r="AZ132" s="150"/>
      <c r="BA132" s="150"/>
      <c r="BB132" s="150"/>
      <c r="BC132" s="170"/>
      <c r="BD132" s="170"/>
      <c r="BE132" s="170"/>
      <c r="BF132" s="170"/>
      <c r="BG132" s="170"/>
      <c r="BH132" s="170"/>
      <c r="BI132" s="170"/>
      <c r="BJ132" s="170"/>
      <c r="BK132" s="167"/>
      <c r="BL132" s="167"/>
      <c r="BM132" s="167"/>
      <c r="BN132" s="167"/>
    </row>
    <row r="133" spans="1:66" s="171" customFormat="1" hidden="1" outlineLevel="1" x14ac:dyDescent="0.3">
      <c r="A133" s="164">
        <v>19</v>
      </c>
      <c r="B133" s="164" t="s">
        <v>31</v>
      </c>
      <c r="C133" s="164" t="s">
        <v>63</v>
      </c>
      <c r="D133" s="164" t="s">
        <v>2829</v>
      </c>
      <c r="E133" s="164" t="str">
        <f>VLOOKUP(A133,'Bevétel 2a SZH 2023'!B:C,2,0)</f>
        <v>Nemzeköziesítésre elvonás</v>
      </c>
      <c r="F133" s="164" t="s">
        <v>2696</v>
      </c>
      <c r="G133" s="164"/>
      <c r="H133" s="169" t="s">
        <v>2617</v>
      </c>
      <c r="I133" s="165">
        <f>IFERROR(VLOOKUP($A133,'Bevétel 2a SZH 2023'!$B:$L,MATCH($I$1,'Bevétel 2a SZH 2023'!$B$1:$L$1,0),0), )</f>
        <v>-95377</v>
      </c>
      <c r="J133" s="165">
        <f t="shared" ref="J133:J135" si="107">SUM(N133:AO133)</f>
        <v>-95377.41</v>
      </c>
      <c r="K133" s="150">
        <f t="shared" si="106"/>
        <v>0.41000000000349246</v>
      </c>
      <c r="L133" s="150">
        <f>SUM(N133:AU133)</f>
        <v>0</v>
      </c>
      <c r="M133" s="173"/>
      <c r="N133" s="150">
        <f>SUM(N134:N135)</f>
        <v>-95377.41</v>
      </c>
      <c r="O133" s="150">
        <f t="shared" ref="O133:AO133" si="108">SUM(O134:O135)</f>
        <v>0</v>
      </c>
      <c r="P133" s="150">
        <f t="shared" si="108"/>
        <v>0</v>
      </c>
      <c r="Q133" s="150">
        <f t="shared" si="108"/>
        <v>0</v>
      </c>
      <c r="R133" s="150">
        <f t="shared" si="108"/>
        <v>0</v>
      </c>
      <c r="S133" s="150">
        <f t="shared" si="108"/>
        <v>0</v>
      </c>
      <c r="T133" s="150">
        <f t="shared" si="108"/>
        <v>0</v>
      </c>
      <c r="U133" s="150">
        <f t="shared" si="108"/>
        <v>0</v>
      </c>
      <c r="V133" s="150">
        <f t="shared" si="108"/>
        <v>0</v>
      </c>
      <c r="W133" s="150">
        <f t="shared" si="108"/>
        <v>0</v>
      </c>
      <c r="X133" s="150">
        <f t="shared" si="108"/>
        <v>0</v>
      </c>
      <c r="Y133" s="150">
        <f t="shared" si="108"/>
        <v>0</v>
      </c>
      <c r="Z133" s="150">
        <f t="shared" si="108"/>
        <v>0</v>
      </c>
      <c r="AA133" s="150">
        <f t="shared" si="108"/>
        <v>0</v>
      </c>
      <c r="AB133" s="150">
        <f t="shared" si="108"/>
        <v>0</v>
      </c>
      <c r="AC133" s="150">
        <f t="shared" si="108"/>
        <v>0</v>
      </c>
      <c r="AD133" s="150">
        <f t="shared" si="108"/>
        <v>0</v>
      </c>
      <c r="AE133" s="150">
        <f t="shared" si="108"/>
        <v>0</v>
      </c>
      <c r="AF133" s="150">
        <f t="shared" si="108"/>
        <v>0</v>
      </c>
      <c r="AG133" s="150">
        <f t="shared" si="108"/>
        <v>0</v>
      </c>
      <c r="AH133" s="150">
        <f t="shared" si="108"/>
        <v>0</v>
      </c>
      <c r="AI133" s="150">
        <f t="shared" si="108"/>
        <v>0</v>
      </c>
      <c r="AJ133" s="150">
        <f t="shared" si="108"/>
        <v>0</v>
      </c>
      <c r="AK133" s="150">
        <f t="shared" si="108"/>
        <v>0</v>
      </c>
      <c r="AL133" s="150">
        <f t="shared" si="108"/>
        <v>0</v>
      </c>
      <c r="AM133" s="150"/>
      <c r="AN133" s="150"/>
      <c r="AO133" s="150">
        <f t="shared" si="108"/>
        <v>0</v>
      </c>
      <c r="AP133" s="150"/>
      <c r="AQ133" s="150"/>
      <c r="AR133" s="150"/>
      <c r="AS133" s="150"/>
      <c r="AT133" s="150">
        <f t="shared" ref="AT133" si="109">SUM(AT134:AT135)</f>
        <v>95377.41</v>
      </c>
      <c r="AU133" s="150"/>
      <c r="AV133" s="150"/>
      <c r="AW133" s="150"/>
      <c r="AX133" s="150"/>
      <c r="AY133" s="150"/>
      <c r="AZ133" s="150"/>
      <c r="BA133" s="150"/>
      <c r="BB133" s="150"/>
      <c r="BC133" s="170"/>
      <c r="BD133" s="170"/>
      <c r="BE133" s="170"/>
      <c r="BF133" s="170"/>
      <c r="BG133" s="170"/>
      <c r="BH133" s="170"/>
      <c r="BI133" s="170"/>
      <c r="BJ133" s="170"/>
      <c r="BK133" s="167">
        <f>+SUM(N133:AA133)</f>
        <v>-95377.41</v>
      </c>
      <c r="BL133" s="167">
        <f>+AB133</f>
        <v>0</v>
      </c>
      <c r="BM133" s="167">
        <f>+SUM(AC133:AO133)</f>
        <v>0</v>
      </c>
      <c r="BN133" s="167">
        <f>+SUM(AP133:BJ133)</f>
        <v>95377.41</v>
      </c>
    </row>
    <row r="134" spans="1:66" s="171" customFormat="1" hidden="1" outlineLevel="1" x14ac:dyDescent="0.3">
      <c r="A134" s="164"/>
      <c r="B134" s="164"/>
      <c r="C134" s="164"/>
      <c r="D134" s="164"/>
      <c r="E134" s="169" t="s">
        <v>3738</v>
      </c>
      <c r="F134" s="169" t="s">
        <v>63</v>
      </c>
      <c r="G134" s="169">
        <v>292</v>
      </c>
      <c r="H134" s="169" t="s">
        <v>600</v>
      </c>
      <c r="I134" s="165">
        <f>IFERROR(-VLOOKUP($I$1,'16'!$A:$G,6,0),0)</f>
        <v>0</v>
      </c>
      <c r="J134" s="165">
        <f t="shared" si="107"/>
        <v>0</v>
      </c>
      <c r="K134" s="150">
        <f t="shared" si="106"/>
        <v>0</v>
      </c>
      <c r="L134" s="150">
        <f>SUM(N134:AU134)</f>
        <v>0</v>
      </c>
      <c r="M134" s="542">
        <v>2</v>
      </c>
      <c r="N134" s="150">
        <f>IFERROR(VLOOKUP($M134,'1 b felosztások'!$A:$AE,'1 b felosztások'!C$2,0)*$I134,0)</f>
        <v>0</v>
      </c>
      <c r="O134" s="150">
        <f>IFERROR(VLOOKUP($M134,'1 b felosztások'!$A:$AE,'1 b felosztások'!D$2,0)*$I134,0)</f>
        <v>0</v>
      </c>
      <c r="P134" s="150">
        <f>IFERROR(VLOOKUP($M134,'1 b felosztások'!$A:$AE,'1 b felosztások'!E$2,0)*$I134,0)</f>
        <v>0</v>
      </c>
      <c r="Q134" s="150">
        <f>IFERROR(VLOOKUP($M134,'1 b felosztások'!$A:$AE,'1 b felosztások'!F$2,0)*$I134,0)</f>
        <v>0</v>
      </c>
      <c r="R134" s="150">
        <f>IFERROR(VLOOKUP($M134,'1 b felosztások'!$A:$AE,'1 b felosztások'!G$2,0)*$I134,0)</f>
        <v>0</v>
      </c>
      <c r="S134" s="150">
        <f>IFERROR(VLOOKUP($M134,'1 b felosztások'!$A:$AE,'1 b felosztások'!H$2,0)*$I134,0)</f>
        <v>0</v>
      </c>
      <c r="T134" s="150">
        <f>IFERROR(VLOOKUP($M134,'1 b felosztások'!$A:$AE,'1 b felosztások'!I$2,0)*$I134,0)</f>
        <v>0</v>
      </c>
      <c r="U134" s="150">
        <f>IFERROR(VLOOKUP($M134,'1 b felosztások'!$A:$AE,'1 b felosztások'!J$2,0)*$I134,0)</f>
        <v>0</v>
      </c>
      <c r="V134" s="150">
        <f>IFERROR(VLOOKUP($M134,'1 b felosztások'!$A:$AE,'1 b felosztások'!K$2,0)*$I134,0)</f>
        <v>0</v>
      </c>
      <c r="W134" s="150">
        <f>IFERROR(VLOOKUP($M134,'1 b felosztások'!$A:$AE,'1 b felosztások'!L$2,0)*$I134,0)</f>
        <v>0</v>
      </c>
      <c r="X134" s="150">
        <f>IFERROR(VLOOKUP($M134,'1 b felosztások'!$A:$AE,'1 b felosztások'!M$2,0)*$I134,0)</f>
        <v>0</v>
      </c>
      <c r="Y134" s="150">
        <f>IFERROR(VLOOKUP($M134,'1 b felosztások'!$A:$AE,'1 b felosztások'!N$2,0)*$I134,0)</f>
        <v>0</v>
      </c>
      <c r="Z134" s="150">
        <f>IFERROR(VLOOKUP($M134,'1 b felosztások'!$A:$AE,'1 b felosztások'!O$2,0)*$I134,0)</f>
        <v>0</v>
      </c>
      <c r="AA134" s="150">
        <f>IFERROR(VLOOKUP($M134,'1 b felosztások'!$A:$AE,'1 b felosztások'!P$2,0)*$I134,0)</f>
        <v>0</v>
      </c>
      <c r="AB134" s="150">
        <f>IFERROR(VLOOKUP($M134,'1 b felosztások'!$A:$AE,'1 b felosztások'!Q$2,0)*$I134,0)</f>
        <v>0</v>
      </c>
      <c r="AC134" s="150">
        <f>IFERROR(VLOOKUP($M134,'1 b felosztások'!$A:$AE,'1 b felosztások'!R$2,0)*$I134,0)</f>
        <v>0</v>
      </c>
      <c r="AD134" s="150">
        <f>IFERROR(VLOOKUP($M134,'1 b felosztások'!$A:$AE,'1 b felosztások'!S$2,0)*$I134,0)</f>
        <v>0</v>
      </c>
      <c r="AE134" s="150">
        <f>IFERROR(VLOOKUP($M134,'1 b felosztások'!$A:$AE,'1 b felosztások'!T$2,0)*$I134,0)</f>
        <v>0</v>
      </c>
      <c r="AF134" s="150">
        <f>IFERROR(VLOOKUP($M134,'1 b felosztások'!$A:$AE,'1 b felosztások'!AE$2,0)*$I134,0)</f>
        <v>0</v>
      </c>
      <c r="AG134" s="150">
        <f>IFERROR(VLOOKUP($M134,'1 b felosztások'!$A:$AE,'1 b felosztások'!AF$2,0)*$I134,0)</f>
        <v>0</v>
      </c>
      <c r="AH134" s="150">
        <f>IFERROR(VLOOKUP($M134,'1 b felosztások'!$A:$AE,'1 b felosztások'!AG$2,0)*$I134,0)</f>
        <v>0</v>
      </c>
      <c r="AI134" s="150">
        <f>IFERROR(VLOOKUP($M134,'1 b felosztások'!$A:$AE,'1 b felosztások'!AH$2,0)*$I134,0)</f>
        <v>0</v>
      </c>
      <c r="AJ134" s="150">
        <f>IFERROR(VLOOKUP($M134,'1 b felosztások'!$A:$AE,'1 b felosztások'!AI$2,0)*$I134,0)</f>
        <v>0</v>
      </c>
      <c r="AK134" s="150">
        <f>IFERROR(VLOOKUP($M134,'1 b felosztások'!$A:$AE,'1 b felosztások'!AJ$2,0)*$I134,0)</f>
        <v>0</v>
      </c>
      <c r="AL134" s="150">
        <f>IFERROR(VLOOKUP($M134,'1 b felosztások'!$A:$AE,'1 b felosztások'!AK$2,0)*$I134,0)</f>
        <v>0</v>
      </c>
      <c r="AM134" s="150"/>
      <c r="AN134" s="150"/>
      <c r="AO134" s="150">
        <f>IFERROR(VLOOKUP($M134,'1 b felosztások'!$A:$AE,'1 b felosztások'!AL$2,0)*$I134,0)</f>
        <v>0</v>
      </c>
      <c r="AP134" s="150"/>
      <c r="AQ134" s="150"/>
      <c r="AR134" s="150"/>
      <c r="AS134" s="150"/>
      <c r="AT134" s="165">
        <f t="shared" ref="AT134:AT135" si="110">$I134*-1</f>
        <v>0</v>
      </c>
      <c r="AU134" s="150"/>
      <c r="AV134" s="150"/>
      <c r="AW134" s="150"/>
      <c r="AX134" s="150"/>
      <c r="AY134" s="150"/>
      <c r="AZ134" s="150"/>
      <c r="BA134" s="150"/>
      <c r="BB134" s="150"/>
      <c r="BC134" s="170"/>
      <c r="BD134" s="170"/>
      <c r="BE134" s="170"/>
      <c r="BF134" s="170"/>
      <c r="BG134" s="170"/>
      <c r="BH134" s="170"/>
      <c r="BI134" s="170"/>
      <c r="BJ134" s="170"/>
      <c r="BK134" s="167">
        <f>+SUM(N134:AA134)</f>
        <v>0</v>
      </c>
      <c r="BL134" s="167">
        <f>+AB134</f>
        <v>0</v>
      </c>
      <c r="BM134" s="167">
        <f>+SUM(AC134:AO134)</f>
        <v>0</v>
      </c>
      <c r="BN134" s="167">
        <f>+SUM(AP134:BJ134)</f>
        <v>0</v>
      </c>
    </row>
    <row r="135" spans="1:66" s="171" customFormat="1" hidden="1" outlineLevel="1" x14ac:dyDescent="0.3">
      <c r="A135" s="164"/>
      <c r="B135" s="164"/>
      <c r="C135" s="164"/>
      <c r="D135" s="164"/>
      <c r="E135" s="169" t="s">
        <v>3739</v>
      </c>
      <c r="F135" s="169" t="s">
        <v>63</v>
      </c>
      <c r="G135" s="169">
        <v>338</v>
      </c>
      <c r="H135" s="169" t="s">
        <v>3264</v>
      </c>
      <c r="I135" s="165">
        <f>IFERROR(-VLOOKUP($I$1,'16'!$A:$G,4,0),0)</f>
        <v>-95377.41</v>
      </c>
      <c r="J135" s="165">
        <f t="shared" si="107"/>
        <v>-95377.41</v>
      </c>
      <c r="K135" s="150">
        <f t="shared" si="106"/>
        <v>0</v>
      </c>
      <c r="L135" s="150">
        <f>SUM(N135:AU135)</f>
        <v>0</v>
      </c>
      <c r="M135" s="542">
        <v>13</v>
      </c>
      <c r="N135" s="150">
        <f>IFERROR(VLOOKUP($M135,'1 b felosztások'!$A:$AE,'1 b felosztások'!C$2,0)*$I135,0)</f>
        <v>-95377.41</v>
      </c>
      <c r="O135" s="150">
        <f>IFERROR(VLOOKUP($M135,'1 b felosztások'!$A:$AE,'1 b felosztások'!D$2,0)*$I135,0)</f>
        <v>0</v>
      </c>
      <c r="P135" s="150">
        <f>IFERROR(VLOOKUP($M135,'1 b felosztások'!$A:$AE,'1 b felosztások'!E$2,0)*$I135,0)</f>
        <v>0</v>
      </c>
      <c r="Q135" s="150">
        <f>IFERROR(VLOOKUP($M135,'1 b felosztások'!$A:$AE,'1 b felosztások'!F$2,0)*$I135,0)</f>
        <v>0</v>
      </c>
      <c r="R135" s="150">
        <f>IFERROR(VLOOKUP($M135,'1 b felosztások'!$A:$AE,'1 b felosztások'!G$2,0)*$I135,0)</f>
        <v>0</v>
      </c>
      <c r="S135" s="150">
        <f>IFERROR(VLOOKUP($M135,'1 b felosztások'!$A:$AE,'1 b felosztások'!H$2,0)*$I135,0)</f>
        <v>0</v>
      </c>
      <c r="T135" s="150">
        <f>IFERROR(VLOOKUP($M135,'1 b felosztások'!$A:$AE,'1 b felosztások'!I$2,0)*$I135,0)</f>
        <v>0</v>
      </c>
      <c r="U135" s="150">
        <f>IFERROR(VLOOKUP($M135,'1 b felosztások'!$A:$AE,'1 b felosztások'!J$2,0)*$I135,0)</f>
        <v>0</v>
      </c>
      <c r="V135" s="150">
        <f>IFERROR(VLOOKUP($M135,'1 b felosztások'!$A:$AE,'1 b felosztások'!K$2,0)*$I135,0)</f>
        <v>0</v>
      </c>
      <c r="W135" s="150">
        <f>IFERROR(VLOOKUP($M135,'1 b felosztások'!$A:$AE,'1 b felosztások'!L$2,0)*$I135,0)</f>
        <v>0</v>
      </c>
      <c r="X135" s="150">
        <f>IFERROR(VLOOKUP($M135,'1 b felosztások'!$A:$AE,'1 b felosztások'!M$2,0)*$I135,0)</f>
        <v>0</v>
      </c>
      <c r="Y135" s="150">
        <f>IFERROR(VLOOKUP($M135,'1 b felosztások'!$A:$AE,'1 b felosztások'!N$2,0)*$I135,0)</f>
        <v>0</v>
      </c>
      <c r="Z135" s="150">
        <f>IFERROR(VLOOKUP($M135,'1 b felosztások'!$A:$AE,'1 b felosztások'!O$2,0)*$I135,0)</f>
        <v>0</v>
      </c>
      <c r="AA135" s="150">
        <f>IFERROR(VLOOKUP($M135,'1 b felosztások'!$A:$AE,'1 b felosztások'!P$2,0)*$I135,0)</f>
        <v>0</v>
      </c>
      <c r="AB135" s="150">
        <f>IFERROR(VLOOKUP($M135,'1 b felosztások'!$A:$AE,'1 b felosztások'!Q$2,0)*$I135,0)</f>
        <v>0</v>
      </c>
      <c r="AC135" s="150">
        <f>IFERROR(VLOOKUP($M135,'1 b felosztások'!$A:$AE,'1 b felosztások'!R$2,0)*$I135,0)</f>
        <v>0</v>
      </c>
      <c r="AD135" s="150">
        <f>IFERROR(VLOOKUP($M135,'1 b felosztások'!$A:$AE,'1 b felosztások'!S$2,0)*$I135,0)</f>
        <v>0</v>
      </c>
      <c r="AE135" s="150">
        <f>IFERROR(VLOOKUP($M135,'1 b felosztások'!$A:$AE,'1 b felosztások'!T$2,0)*$I135,0)</f>
        <v>0</v>
      </c>
      <c r="AF135" s="150">
        <f>IFERROR(VLOOKUP($M135,'1 b felosztások'!$A:$AE,'1 b felosztások'!AE$2,0)*$I135,0)</f>
        <v>0</v>
      </c>
      <c r="AG135" s="150">
        <f>IFERROR(VLOOKUP($M135,'1 b felosztások'!$A:$AE,'1 b felosztások'!AF$2,0)*$I135,0)</f>
        <v>0</v>
      </c>
      <c r="AH135" s="150">
        <f>IFERROR(VLOOKUP($M135,'1 b felosztások'!$A:$AE,'1 b felosztások'!AG$2,0)*$I135,0)</f>
        <v>0</v>
      </c>
      <c r="AI135" s="150">
        <f>IFERROR(VLOOKUP($M135,'1 b felosztások'!$A:$AE,'1 b felosztások'!AH$2,0)*$I135,0)</f>
        <v>0</v>
      </c>
      <c r="AJ135" s="150">
        <f>IFERROR(VLOOKUP($M135,'1 b felosztások'!$A:$AE,'1 b felosztások'!AI$2,0)*$I135,0)</f>
        <v>0</v>
      </c>
      <c r="AK135" s="150">
        <f>IFERROR(VLOOKUP($M135,'1 b felosztások'!$A:$AE,'1 b felosztások'!AJ$2,0)*$I135,0)</f>
        <v>0</v>
      </c>
      <c r="AL135" s="150">
        <f>IFERROR(VLOOKUP($M135,'1 b felosztások'!$A:$AE,'1 b felosztások'!AK$2,0)*$I135,0)</f>
        <v>0</v>
      </c>
      <c r="AM135" s="150"/>
      <c r="AN135" s="150"/>
      <c r="AO135" s="150">
        <f>IFERROR(VLOOKUP($M135,'1 b felosztások'!$A:$AE,'1 b felosztások'!AL$2,0)*$I135,0)</f>
        <v>0</v>
      </c>
      <c r="AP135" s="150"/>
      <c r="AQ135" s="150"/>
      <c r="AR135" s="150"/>
      <c r="AS135" s="150"/>
      <c r="AT135" s="165">
        <f t="shared" si="110"/>
        <v>95377.41</v>
      </c>
      <c r="AU135" s="150"/>
      <c r="AV135" s="150"/>
      <c r="AW135" s="150"/>
      <c r="AX135" s="150"/>
      <c r="AY135" s="150"/>
      <c r="AZ135" s="150"/>
      <c r="BA135" s="150"/>
      <c r="BB135" s="150"/>
      <c r="BC135" s="170"/>
      <c r="BD135" s="170"/>
      <c r="BE135" s="170"/>
      <c r="BF135" s="170"/>
      <c r="BG135" s="170"/>
      <c r="BH135" s="170"/>
      <c r="BI135" s="170"/>
      <c r="BJ135" s="170"/>
      <c r="BK135" s="167">
        <f>+SUM(N135:AA135)</f>
        <v>-95377.41</v>
      </c>
      <c r="BL135" s="167">
        <f>+AB135</f>
        <v>0</v>
      </c>
      <c r="BM135" s="167">
        <f>+SUM(AC135:AO135)</f>
        <v>0</v>
      </c>
      <c r="BN135" s="167">
        <f>+SUM(AP135:BJ135)</f>
        <v>95377.41</v>
      </c>
    </row>
    <row r="136" spans="1:66" s="171" customFormat="1" ht="46.8" collapsed="1" x14ac:dyDescent="0.3">
      <c r="A136" s="180"/>
      <c r="B136" s="187" t="s">
        <v>32</v>
      </c>
      <c r="C136" s="187" t="s">
        <v>2810</v>
      </c>
      <c r="D136" s="187" t="s">
        <v>2830</v>
      </c>
      <c r="E136" s="187" t="str">
        <f>+B136</f>
        <v>Bevételi egyenleg I. (itt lévő előirányzatok)</v>
      </c>
      <c r="F136" s="180"/>
      <c r="G136" s="180"/>
      <c r="H136" s="180"/>
      <c r="I136" s="181">
        <f>I91+I92+I95+I98+I101+I102+I103+I104+I105+I106+I113+I116+I119+I122+I133</f>
        <v>703657646.17637515</v>
      </c>
      <c r="J136" s="181">
        <f>J91+J92+J95+J98+J101+J102+J103+J104+J105+J106+J113+J116+J119+J122+J133</f>
        <v>703657645.84422767</v>
      </c>
      <c r="K136" s="181">
        <f>+K91+K92+K95+K98+K101+K102+K105+K106+K113+K116+K133+K119+K129+K128+K132+K104</f>
        <v>4.3321475386619568</v>
      </c>
      <c r="L136" s="181">
        <f>+L91+L92+L95+L98+L101+L102+L105+L106+L113+L116+L133+L119+L129+L128+L132+L104</f>
        <v>967418984.56705081</v>
      </c>
      <c r="M136" s="181"/>
      <c r="N136" s="181">
        <f>+N91+N92+N95+N98+N101+N102+N103+N105+N106+N113+N116+N133+N119+N129+N128+N132+N104+N122+N125</f>
        <v>116639995.50642255</v>
      </c>
      <c r="O136" s="181">
        <f t="shared" ref="O136:BN136" si="111">+O91+O92+O95+O98+O101+O102+O103+O105+O106+O113+O116+O133+O119+O129+O128+O132+O104+O122+O125</f>
        <v>30400283.56364052</v>
      </c>
      <c r="P136" s="181">
        <f t="shared" si="111"/>
        <v>6648344.2683467977</v>
      </c>
      <c r="Q136" s="181">
        <f t="shared" si="111"/>
        <v>38686995.799419589</v>
      </c>
      <c r="R136" s="181">
        <f t="shared" si="111"/>
        <v>15344498.317994855</v>
      </c>
      <c r="S136" s="181">
        <f t="shared" si="111"/>
        <v>38350928.664328843</v>
      </c>
      <c r="T136" s="181">
        <f t="shared" si="111"/>
        <v>16745373.184905598</v>
      </c>
      <c r="U136" s="181">
        <f t="shared" si="111"/>
        <v>44673208.969550543</v>
      </c>
      <c r="V136" s="181">
        <f t="shared" si="111"/>
        <v>57263922.315851368</v>
      </c>
      <c r="W136" s="181">
        <f t="shared" si="111"/>
        <v>45531656.552071162</v>
      </c>
      <c r="X136" s="181">
        <f t="shared" si="111"/>
        <v>29187057.588538174</v>
      </c>
      <c r="Y136" s="181">
        <f t="shared" si="111"/>
        <v>62946094.37170247</v>
      </c>
      <c r="Z136" s="181">
        <f t="shared" si="111"/>
        <v>23544126.510201715</v>
      </c>
      <c r="AA136" s="181">
        <f t="shared" si="111"/>
        <v>4376447.9388620891</v>
      </c>
      <c r="AB136" s="181">
        <f t="shared" si="111"/>
        <v>0</v>
      </c>
      <c r="AC136" s="181">
        <f t="shared" si="111"/>
        <v>4481855.2923913877</v>
      </c>
      <c r="AD136" s="181">
        <f t="shared" si="111"/>
        <v>3925000</v>
      </c>
      <c r="AE136" s="181">
        <f t="shared" si="111"/>
        <v>0</v>
      </c>
      <c r="AF136" s="181">
        <f t="shared" si="111"/>
        <v>14511285</v>
      </c>
      <c r="AG136" s="181">
        <f t="shared" si="111"/>
        <v>0</v>
      </c>
      <c r="AH136" s="181">
        <f t="shared" si="111"/>
        <v>0</v>
      </c>
      <c r="AI136" s="181">
        <f t="shared" si="111"/>
        <v>0</v>
      </c>
      <c r="AJ136" s="181">
        <f t="shared" si="111"/>
        <v>0</v>
      </c>
      <c r="AK136" s="181">
        <f t="shared" si="111"/>
        <v>0</v>
      </c>
      <c r="AL136" s="181">
        <f t="shared" si="111"/>
        <v>0</v>
      </c>
      <c r="AM136" s="181">
        <f t="shared" si="111"/>
        <v>618591</v>
      </c>
      <c r="AN136" s="181">
        <f t="shared" si="111"/>
        <v>17322394</v>
      </c>
      <c r="AO136" s="181">
        <f t="shared" si="111"/>
        <v>132459583</v>
      </c>
      <c r="AP136" s="181">
        <f t="shared" si="111"/>
        <v>1268176</v>
      </c>
      <c r="AQ136" s="181">
        <f t="shared" si="111"/>
        <v>10131830</v>
      </c>
      <c r="AR136" s="181">
        <f t="shared" si="111"/>
        <v>188646702.77000248</v>
      </c>
      <c r="AS136" s="181">
        <f t="shared" si="111"/>
        <v>42158065</v>
      </c>
      <c r="AT136" s="181">
        <f t="shared" si="111"/>
        <v>95377.41</v>
      </c>
      <c r="AU136" s="181">
        <f t="shared" si="111"/>
        <v>4837094.942820576</v>
      </c>
      <c r="AV136" s="181">
        <f t="shared" si="111"/>
        <v>0</v>
      </c>
      <c r="AW136" s="181">
        <f t="shared" si="111"/>
        <v>0</v>
      </c>
      <c r="AX136" s="181">
        <f t="shared" si="111"/>
        <v>0</v>
      </c>
      <c r="AY136" s="181">
        <f t="shared" si="111"/>
        <v>0</v>
      </c>
      <c r="AZ136" s="181">
        <f t="shared" si="111"/>
        <v>0</v>
      </c>
      <c r="BA136" s="181">
        <f t="shared" si="111"/>
        <v>0</v>
      </c>
      <c r="BB136" s="181">
        <f t="shared" si="111"/>
        <v>6979623.5999999996</v>
      </c>
      <c r="BC136" s="181">
        <f t="shared" si="111"/>
        <v>0</v>
      </c>
      <c r="BD136" s="181">
        <f t="shared" si="111"/>
        <v>0</v>
      </c>
      <c r="BE136" s="181">
        <f t="shared" si="111"/>
        <v>0</v>
      </c>
      <c r="BF136" s="181">
        <f t="shared" si="111"/>
        <v>0</v>
      </c>
      <c r="BG136" s="181">
        <f t="shared" si="111"/>
        <v>0</v>
      </c>
      <c r="BH136" s="181">
        <f t="shared" si="111"/>
        <v>9644473</v>
      </c>
      <c r="BI136" s="181">
        <f t="shared" si="111"/>
        <v>0</v>
      </c>
      <c r="BJ136" s="181">
        <f t="shared" si="111"/>
        <v>0</v>
      </c>
      <c r="BK136" s="181">
        <f t="shared" si="111"/>
        <v>530338933.55183625</v>
      </c>
      <c r="BL136" s="181">
        <f t="shared" si="111"/>
        <v>0</v>
      </c>
      <c r="BM136" s="181">
        <f t="shared" si="111"/>
        <v>173318708.29239139</v>
      </c>
      <c r="BN136" s="181">
        <f t="shared" si="111"/>
        <v>263761342.72282305</v>
      </c>
    </row>
    <row r="137" spans="1:66" s="171" customFormat="1" hidden="1" outlineLevel="1" x14ac:dyDescent="0.3">
      <c r="A137" s="164">
        <v>21</v>
      </c>
      <c r="B137" s="164" t="s">
        <v>2</v>
      </c>
      <c r="C137" s="164" t="s">
        <v>63</v>
      </c>
      <c r="D137" s="164" t="s">
        <v>2831</v>
      </c>
      <c r="E137" s="164" t="str">
        <f>VLOOKUP(A137,'Bevétel 2a SZH 2023'!B:C,2,0)</f>
        <v>2022. év végi maradvány (kari gazda) szabad keret (S*ITTNEMEI, *PALYREZSI, kari kiválósági, függő bevétel kizárásával)</v>
      </c>
      <c r="F137" s="164" t="s">
        <v>65</v>
      </c>
      <c r="G137" s="169"/>
      <c r="H137" s="164" t="s">
        <v>2</v>
      </c>
      <c r="I137" s="165">
        <f>IFERROR(VLOOKUP($A137,'Bevétel 2a SZH 2023'!$B:$L,MATCH($I$1,'Bevétel 2a SZH 2023'!$B$1:$L$1,0),0), )</f>
        <v>70278099</v>
      </c>
      <c r="J137" s="165">
        <f t="shared" ref="J137:J150" si="112">SUM(N137:AO137)</f>
        <v>70278099</v>
      </c>
      <c r="K137" s="150">
        <f t="shared" ref="K137:K150" si="113">+I137-J137</f>
        <v>0</v>
      </c>
      <c r="L137" s="150">
        <f>SUM(N137:BJ137)</f>
        <v>70278099</v>
      </c>
      <c r="M137" s="173"/>
      <c r="N137" s="184">
        <v>3714820</v>
      </c>
      <c r="O137" s="184">
        <v>1012470</v>
      </c>
      <c r="P137" s="184">
        <v>584460</v>
      </c>
      <c r="Q137" s="184">
        <v>2201866</v>
      </c>
      <c r="R137" s="184">
        <v>379626</v>
      </c>
      <c r="S137" s="184">
        <v>716352</v>
      </c>
      <c r="T137" s="184">
        <v>1342595</v>
      </c>
      <c r="U137" s="184">
        <v>4354917</v>
      </c>
      <c r="V137" s="184">
        <v>2268446</v>
      </c>
      <c r="W137" s="184">
        <v>4252399</v>
      </c>
      <c r="X137" s="184">
        <v>0</v>
      </c>
      <c r="Y137" s="184">
        <v>2886840</v>
      </c>
      <c r="Z137" s="184">
        <f>4408469-452535</f>
        <v>3955934</v>
      </c>
      <c r="AA137" s="184">
        <v>7850662</v>
      </c>
      <c r="AB137" s="184"/>
      <c r="AC137" s="184">
        <v>28743405</v>
      </c>
      <c r="AD137" s="184">
        <v>-6908500</v>
      </c>
      <c r="AE137" s="184">
        <v>-15000</v>
      </c>
      <c r="AF137" s="184"/>
      <c r="AG137" s="184"/>
      <c r="AH137" s="184"/>
      <c r="AI137" s="184"/>
      <c r="AJ137" s="184"/>
      <c r="AK137" s="184"/>
      <c r="AL137" s="184"/>
      <c r="AM137" s="184">
        <v>-21236</v>
      </c>
      <c r="AN137" s="184">
        <v>1540564</v>
      </c>
      <c r="AO137" s="184">
        <v>11417479</v>
      </c>
      <c r="AP137" s="150"/>
      <c r="AQ137" s="150"/>
      <c r="AR137" s="150"/>
      <c r="AS137" s="150"/>
      <c r="AT137" s="150"/>
      <c r="AU137" s="150"/>
      <c r="AV137" s="150"/>
      <c r="AW137" s="150"/>
      <c r="AX137" s="150"/>
      <c r="AY137" s="150"/>
      <c r="AZ137" s="150"/>
      <c r="BA137" s="150"/>
      <c r="BB137" s="150"/>
      <c r="BC137" s="170"/>
      <c r="BD137" s="170"/>
      <c r="BE137" s="170"/>
      <c r="BF137" s="170"/>
      <c r="BG137" s="170"/>
      <c r="BH137" s="170"/>
      <c r="BI137" s="170"/>
      <c r="BJ137" s="170"/>
      <c r="BK137" s="167">
        <f t="shared" ref="BK137:BK177" si="114">+SUM(N137:AA137)</f>
        <v>35521387</v>
      </c>
      <c r="BL137" s="167">
        <f t="shared" ref="BL137:BL177" si="115">+AB137</f>
        <v>0</v>
      </c>
      <c r="BM137" s="167">
        <f t="shared" ref="BM137:BM177" si="116">+SUM(AC137:AO137)</f>
        <v>34756712</v>
      </c>
      <c r="BN137" s="167">
        <f t="shared" ref="BN137:BN177" si="117">+SUM(AP137:BJ137)</f>
        <v>0</v>
      </c>
    </row>
    <row r="138" spans="1:66" s="171" customFormat="1" hidden="1" outlineLevel="1" x14ac:dyDescent="0.3">
      <c r="A138" s="164">
        <v>22</v>
      </c>
      <c r="B138" s="164" t="s">
        <v>2</v>
      </c>
      <c r="C138" s="164" t="s">
        <v>63</v>
      </c>
      <c r="D138" s="164" t="s">
        <v>2831</v>
      </c>
      <c r="E138" s="164" t="str">
        <f>VLOOKUP(A138,'Bevétel 2a SZH 2023'!B:C,2,0)</f>
        <v>2022. év végi maradvány (kari gazda) átfordult kötelezettségvállalás</v>
      </c>
      <c r="F138" s="164" t="s">
        <v>65</v>
      </c>
      <c r="G138" s="169"/>
      <c r="H138" s="164" t="s">
        <v>2</v>
      </c>
      <c r="I138" s="165">
        <f>IFERROR(VLOOKUP($A138,'Bevétel 2a SZH 2023'!$B:$L,MATCH($I$1,'Bevétel 2a SZH 2023'!$B$1:$L$1,0),0), )</f>
        <v>-20922133</v>
      </c>
      <c r="J138" s="165">
        <f t="shared" si="112"/>
        <v>-20922133</v>
      </c>
      <c r="K138" s="150">
        <f t="shared" si="113"/>
        <v>0</v>
      </c>
      <c r="L138" s="150">
        <f>SUM(N138:BJ138)</f>
        <v>-20922133</v>
      </c>
      <c r="M138" s="173"/>
      <c r="N138" s="184">
        <v>-164169</v>
      </c>
      <c r="O138" s="184">
        <v>-133526</v>
      </c>
      <c r="P138" s="184">
        <v>-370442</v>
      </c>
      <c r="Q138" s="184">
        <v>-288039</v>
      </c>
      <c r="R138" s="184">
        <v>-34240</v>
      </c>
      <c r="S138" s="184">
        <v>-130187</v>
      </c>
      <c r="T138" s="184">
        <v>-19263</v>
      </c>
      <c r="U138" s="184">
        <v>-1646000</v>
      </c>
      <c r="V138" s="184">
        <v>-1487537</v>
      </c>
      <c r="W138" s="184">
        <v>-545294</v>
      </c>
      <c r="X138" s="184">
        <v>0</v>
      </c>
      <c r="Y138" s="184">
        <v>-733412</v>
      </c>
      <c r="Z138" s="184">
        <v>-42900</v>
      </c>
      <c r="AA138" s="184">
        <v>-101754</v>
      </c>
      <c r="AB138" s="184"/>
      <c r="AC138" s="184">
        <v>-14976102</v>
      </c>
      <c r="AD138" s="184">
        <v>0</v>
      </c>
      <c r="AE138" s="184">
        <v>0</v>
      </c>
      <c r="AF138" s="184"/>
      <c r="AG138" s="184"/>
      <c r="AH138" s="184"/>
      <c r="AI138" s="184"/>
      <c r="AJ138" s="184"/>
      <c r="AK138" s="184"/>
      <c r="AL138" s="184"/>
      <c r="AM138" s="184">
        <v>0</v>
      </c>
      <c r="AN138" s="184">
        <v>0</v>
      </c>
      <c r="AO138" s="184">
        <v>-249268</v>
      </c>
      <c r="AP138" s="150"/>
      <c r="AQ138" s="150"/>
      <c r="AR138" s="150"/>
      <c r="AS138" s="150"/>
      <c r="AT138" s="150"/>
      <c r="AU138" s="150"/>
      <c r="AV138" s="150"/>
      <c r="AW138" s="150"/>
      <c r="AX138" s="150"/>
      <c r="AY138" s="150"/>
      <c r="AZ138" s="150"/>
      <c r="BA138" s="150"/>
      <c r="BB138" s="150"/>
      <c r="BC138" s="170"/>
      <c r="BD138" s="170"/>
      <c r="BE138" s="170"/>
      <c r="BF138" s="170"/>
      <c r="BG138" s="170"/>
      <c r="BH138" s="170"/>
      <c r="BI138" s="170"/>
      <c r="BJ138" s="170"/>
      <c r="BK138" s="167">
        <f t="shared" si="114"/>
        <v>-5696763</v>
      </c>
      <c r="BL138" s="167">
        <f t="shared" si="115"/>
        <v>0</v>
      </c>
      <c r="BM138" s="167">
        <f t="shared" si="116"/>
        <v>-15225370</v>
      </c>
      <c r="BN138" s="167">
        <f t="shared" si="117"/>
        <v>0</v>
      </c>
    </row>
    <row r="139" spans="1:66" s="171" customFormat="1" hidden="1" outlineLevel="1" x14ac:dyDescent="0.3">
      <c r="A139" s="164" t="s">
        <v>3890</v>
      </c>
      <c r="B139" s="164" t="s">
        <v>2</v>
      </c>
      <c r="C139" s="164" t="s">
        <v>63</v>
      </c>
      <c r="D139" s="164" t="s">
        <v>2831</v>
      </c>
      <c r="E139" s="164" t="s">
        <v>3891</v>
      </c>
      <c r="F139" s="164" t="s">
        <v>65</v>
      </c>
      <c r="G139" s="169"/>
      <c r="H139" s="164" t="s">
        <v>2</v>
      </c>
      <c r="I139" s="165"/>
      <c r="J139" s="165"/>
      <c r="K139" s="150"/>
      <c r="L139" s="150"/>
      <c r="M139" s="173"/>
      <c r="N139" s="150"/>
      <c r="O139" s="150"/>
      <c r="P139" s="150"/>
      <c r="Q139" s="150"/>
      <c r="R139" s="150"/>
      <c r="S139" s="150"/>
      <c r="T139" s="150"/>
      <c r="U139" s="150"/>
      <c r="V139" s="150"/>
      <c r="W139" s="150"/>
      <c r="X139" s="150"/>
      <c r="Y139" s="150"/>
      <c r="Z139" s="150"/>
      <c r="AA139" s="150"/>
      <c r="AB139" s="150"/>
      <c r="AC139" s="150"/>
      <c r="AD139" s="150"/>
      <c r="AE139" s="150"/>
      <c r="AF139" s="150"/>
      <c r="AG139" s="150"/>
      <c r="AH139" s="150"/>
      <c r="AI139" s="150"/>
      <c r="AJ139" s="150"/>
      <c r="AK139" s="150"/>
      <c r="AL139" s="150"/>
      <c r="AM139" s="150"/>
      <c r="AN139" s="150"/>
      <c r="AO139" s="150"/>
      <c r="AP139" s="150"/>
      <c r="AQ139" s="150"/>
      <c r="AR139" s="150"/>
      <c r="AS139" s="150"/>
      <c r="AT139" s="150"/>
      <c r="AU139" s="150"/>
      <c r="AV139" s="150"/>
      <c r="AW139" s="150"/>
      <c r="AX139" s="150"/>
      <c r="AY139" s="150"/>
      <c r="AZ139" s="150"/>
      <c r="BA139" s="150"/>
      <c r="BB139" s="150"/>
      <c r="BC139" s="170"/>
      <c r="BD139" s="170"/>
      <c r="BE139" s="170"/>
      <c r="BF139" s="170"/>
      <c r="BG139" s="170"/>
      <c r="BH139" s="170"/>
      <c r="BI139" s="170"/>
      <c r="BJ139" s="170"/>
      <c r="BK139" s="167">
        <f t="shared" si="114"/>
        <v>0</v>
      </c>
      <c r="BL139" s="167">
        <f t="shared" si="115"/>
        <v>0</v>
      </c>
      <c r="BM139" s="167">
        <f t="shared" si="116"/>
        <v>0</v>
      </c>
      <c r="BN139" s="167">
        <f t="shared" si="117"/>
        <v>0</v>
      </c>
    </row>
    <row r="140" spans="1:66" s="171" customFormat="1" hidden="1" outlineLevel="1" x14ac:dyDescent="0.3">
      <c r="A140" s="164">
        <v>23</v>
      </c>
      <c r="B140" s="164" t="s">
        <v>2</v>
      </c>
      <c r="C140" s="164" t="s">
        <v>63</v>
      </c>
      <c r="D140" s="164" t="s">
        <v>2831</v>
      </c>
      <c r="E140" s="164" t="str">
        <f>VLOOKUP(A140,'Bevétel 2a SZH 2023'!B:C,2,0)</f>
        <v>Kari kiválósági keretek 2022. év végi költhető maradványa</v>
      </c>
      <c r="F140" s="164" t="s">
        <v>65</v>
      </c>
      <c r="G140" s="169"/>
      <c r="H140" s="164" t="s">
        <v>2</v>
      </c>
      <c r="I140" s="165">
        <f>IFERROR(VLOOKUP($A140,'Bevétel 2a SZH 2023'!$B:$L,MATCH($I$1,'Bevétel 2a SZH 2023'!$B$1:$L$1,0),0), )</f>
        <v>5932764</v>
      </c>
      <c r="J140" s="165">
        <f t="shared" si="112"/>
        <v>5932764</v>
      </c>
      <c r="K140" s="150">
        <f t="shared" si="113"/>
        <v>0</v>
      </c>
      <c r="L140" s="150">
        <f t="shared" ref="L140:L150" si="118">SUM(N140:BJ140)</f>
        <v>5932764</v>
      </c>
      <c r="M140" s="173"/>
      <c r="N140" s="150"/>
      <c r="O140" s="150"/>
      <c r="P140" s="150"/>
      <c r="Q140" s="150"/>
      <c r="R140" s="150"/>
      <c r="S140" s="150"/>
      <c r="T140" s="150"/>
      <c r="U140" s="150"/>
      <c r="V140" s="150"/>
      <c r="W140" s="150"/>
      <c r="X140" s="150"/>
      <c r="Y140" s="150"/>
      <c r="Z140" s="150"/>
      <c r="AA140" s="150"/>
      <c r="AB140" s="150"/>
      <c r="AC140" s="150"/>
      <c r="AD140" s="150"/>
      <c r="AE140" s="150"/>
      <c r="AF140" s="150">
        <f>I140</f>
        <v>5932764</v>
      </c>
      <c r="AG140" s="150"/>
      <c r="AH140" s="150"/>
      <c r="AI140" s="150"/>
      <c r="AJ140" s="150"/>
      <c r="AK140" s="150"/>
      <c r="AL140" s="150"/>
      <c r="AM140" s="150"/>
      <c r="AN140" s="150"/>
      <c r="AO140" s="150"/>
      <c r="AP140" s="150"/>
      <c r="AQ140" s="150"/>
      <c r="AR140" s="150"/>
      <c r="AS140" s="150"/>
      <c r="AT140" s="150"/>
      <c r="AU140" s="150"/>
      <c r="AV140" s="150"/>
      <c r="AW140" s="150"/>
      <c r="AX140" s="150"/>
      <c r="AY140" s="150"/>
      <c r="AZ140" s="150"/>
      <c r="BA140" s="150"/>
      <c r="BB140" s="150"/>
      <c r="BC140" s="170"/>
      <c r="BD140" s="170"/>
      <c r="BE140" s="170"/>
      <c r="BF140" s="170"/>
      <c r="BG140" s="170"/>
      <c r="BH140" s="170"/>
      <c r="BI140" s="170"/>
      <c r="BJ140" s="170"/>
      <c r="BK140" s="167">
        <f t="shared" si="114"/>
        <v>0</v>
      </c>
      <c r="BL140" s="167">
        <f t="shared" si="115"/>
        <v>0</v>
      </c>
      <c r="BM140" s="167">
        <f t="shared" si="116"/>
        <v>5932764</v>
      </c>
      <c r="BN140" s="167">
        <f t="shared" si="117"/>
        <v>0</v>
      </c>
    </row>
    <row r="141" spans="1:66" s="171" customFormat="1" hidden="1" outlineLevel="1" x14ac:dyDescent="0.3">
      <c r="A141" s="164">
        <v>24</v>
      </c>
      <c r="B141" s="164" t="s">
        <v>2</v>
      </c>
      <c r="C141" s="164" t="s">
        <v>63</v>
      </c>
      <c r="D141" s="164" t="s">
        <v>2831</v>
      </c>
      <c r="E141" s="164" t="str">
        <f>VLOOKUP(A141,'Bevétel 2a SZH 2023'!B:C,2,0)</f>
        <v>Közterületesítés elszámolás</v>
      </c>
      <c r="F141" s="164" t="s">
        <v>65</v>
      </c>
      <c r="G141" s="169"/>
      <c r="H141" s="164" t="s">
        <v>2</v>
      </c>
      <c r="I141" s="165">
        <f>IFERROR(VLOOKUP($A141,'Bevétel 2a SZH 2023'!$B:$L,MATCH($I$1,'Bevétel 2a SZH 2023'!$B$1:$L$1,0),0), )</f>
        <v>870936</v>
      </c>
      <c r="J141" s="165">
        <f t="shared" si="112"/>
        <v>870936</v>
      </c>
      <c r="K141" s="150">
        <f t="shared" si="113"/>
        <v>0</v>
      </c>
      <c r="L141" s="150">
        <f t="shared" si="118"/>
        <v>870936</v>
      </c>
      <c r="M141" s="542">
        <v>9</v>
      </c>
      <c r="N141" s="150">
        <f>IFERROR(VLOOKUP($M141,'1 b felosztások'!$A:$AE,'1 b felosztások'!C$2,0)*$I141,0)</f>
        <v>225785.27089920538</v>
      </c>
      <c r="O141" s="150">
        <f>IFERROR(VLOOKUP($M141,'1 b felosztások'!$A:$AE,'1 b felosztások'!D$2,0)*$I141,0)</f>
        <v>54507.261831869517</v>
      </c>
      <c r="P141" s="150">
        <f>IFERROR(VLOOKUP($M141,'1 b felosztások'!$A:$AE,'1 b felosztások'!E$2,0)*$I141,0)</f>
        <v>11675.617699707234</v>
      </c>
      <c r="Q141" s="150">
        <f>IFERROR(VLOOKUP($M141,'1 b felosztások'!$A:$AE,'1 b felosztások'!F$2,0)*$I141,0)</f>
        <v>65590.356503554998</v>
      </c>
      <c r="R141" s="150">
        <f>IFERROR(VLOOKUP($M141,'1 b felosztások'!$A:$AE,'1 b felosztások'!G$2,0)*$I141,0)</f>
        <v>25318.217582601421</v>
      </c>
      <c r="S141" s="150">
        <f>IFERROR(VLOOKUP($M141,'1 b felosztások'!$A:$AE,'1 b felosztások'!H$2,0)*$I141,0)</f>
        <v>49451.389109159347</v>
      </c>
      <c r="T141" s="150">
        <f>IFERROR(VLOOKUP($M141,'1 b felosztások'!$A:$AE,'1 b felosztások'!I$2,0)*$I141,0)</f>
        <v>33968.082442492683</v>
      </c>
      <c r="U141" s="150">
        <f>IFERROR(VLOOKUP($M141,'1 b felosztások'!$A:$AE,'1 b felosztások'!J$2,0)*$I141,0)</f>
        <v>60597.621480552079</v>
      </c>
      <c r="V141" s="150">
        <f>IFERROR(VLOOKUP($M141,'1 b felosztások'!$A:$AE,'1 b felosztások'!K$2,0)*$I141,0)</f>
        <v>90631.739556670844</v>
      </c>
      <c r="W141" s="150">
        <f>IFERROR(VLOOKUP($M141,'1 b felosztások'!$A:$AE,'1 b felosztások'!L$2,0)*$I141,0)</f>
        <v>63030.851292346313</v>
      </c>
      <c r="X141" s="150">
        <f>IFERROR(VLOOKUP($M141,'1 b felosztások'!$A:$AE,'1 b felosztások'!M$2,0)*$I141,0)</f>
        <v>24599.4191551652</v>
      </c>
      <c r="Y141" s="150">
        <f>IFERROR(VLOOKUP($M141,'1 b felosztások'!$A:$AE,'1 b felosztások'!N$2,0)*$I141,0)</f>
        <v>134624.14601421996</v>
      </c>
      <c r="Z141" s="150">
        <f>IFERROR(VLOOKUP($M141,'1 b felosztások'!$A:$AE,'1 b felosztások'!O$2,0)*$I141,0)</f>
        <v>31156.026432455044</v>
      </c>
      <c r="AA141" s="150">
        <f>IFERROR(VLOOKUP($M141,'1 b felosztások'!$A:$AE,'1 b felosztások'!P$2,0)*$I141,0)</f>
        <v>0</v>
      </c>
      <c r="AB141" s="150">
        <f>IFERROR(VLOOKUP($M141,'1 b felosztások'!$A:$AE,'1 b felosztások'!Q$2,0)*$I141,0)</f>
        <v>0</v>
      </c>
      <c r="AC141" s="150"/>
      <c r="AD141" s="150"/>
      <c r="AE141" s="150"/>
      <c r="AF141" s="150"/>
      <c r="AG141" s="150"/>
      <c r="AH141" s="150"/>
      <c r="AI141" s="150"/>
      <c r="AJ141" s="150"/>
      <c r="AK141" s="150"/>
      <c r="AL141" s="150"/>
      <c r="AM141" s="150"/>
      <c r="AN141" s="150"/>
      <c r="AO141" s="150"/>
      <c r="AP141" s="150"/>
      <c r="AQ141" s="150"/>
      <c r="AR141" s="150"/>
      <c r="AS141" s="150"/>
      <c r="AT141" s="150"/>
      <c r="AU141" s="150"/>
      <c r="AV141" s="150"/>
      <c r="AW141" s="150"/>
      <c r="AX141" s="150"/>
      <c r="AY141" s="150"/>
      <c r="AZ141" s="150"/>
      <c r="BA141" s="150"/>
      <c r="BB141" s="150"/>
      <c r="BC141" s="170"/>
      <c r="BD141" s="170"/>
      <c r="BE141" s="170"/>
      <c r="BF141" s="170"/>
      <c r="BG141" s="170"/>
      <c r="BH141" s="170"/>
      <c r="BI141" s="170"/>
      <c r="BJ141" s="170"/>
      <c r="BK141" s="167">
        <f t="shared" si="114"/>
        <v>870936</v>
      </c>
      <c r="BL141" s="167">
        <f t="shared" si="115"/>
        <v>0</v>
      </c>
      <c r="BM141" s="167">
        <f t="shared" si="116"/>
        <v>0</v>
      </c>
      <c r="BN141" s="167">
        <f t="shared" si="117"/>
        <v>0</v>
      </c>
    </row>
    <row r="142" spans="1:66" s="171" customFormat="1" hidden="1" outlineLevel="1" x14ac:dyDescent="0.3">
      <c r="A142" s="164">
        <v>26</v>
      </c>
      <c r="B142" s="164" t="s">
        <v>2</v>
      </c>
      <c r="C142" s="164" t="s">
        <v>63</v>
      </c>
      <c r="D142" s="164" t="s">
        <v>2831</v>
      </c>
      <c r="E142" s="164" t="str">
        <f>VLOOKUP(A142,'Bevétel 2a SZH 2023'!B:C,2,0)</f>
        <v>PALYREZSI elszámolás</v>
      </c>
      <c r="F142" s="164" t="s">
        <v>65</v>
      </c>
      <c r="G142" s="169"/>
      <c r="H142" s="164" t="s">
        <v>2</v>
      </c>
      <c r="I142" s="165">
        <f>IFERROR(VLOOKUP($A142,'Bevétel 2a SZH 2023'!$B:$L,MATCH($I$1,'Bevétel 2a SZH 2023'!$B$1:$L$1,0),0), )</f>
        <v>0</v>
      </c>
      <c r="J142" s="165">
        <f t="shared" si="112"/>
        <v>0</v>
      </c>
      <c r="K142" s="150">
        <f t="shared" si="113"/>
        <v>0</v>
      </c>
      <c r="L142" s="150">
        <f t="shared" si="118"/>
        <v>0</v>
      </c>
      <c r="M142" s="542">
        <v>2</v>
      </c>
      <c r="N142" s="150">
        <f>IFERROR(VLOOKUP($M142,'1 b felosztások'!$A:$AE,'1 b felosztások'!C$2,0)*$I142,0)</f>
        <v>0</v>
      </c>
      <c r="O142" s="150">
        <f>IFERROR(VLOOKUP($M142,'1 b felosztások'!$A:$AE,'1 b felosztások'!D$2,0)*$I142,0)</f>
        <v>0</v>
      </c>
      <c r="P142" s="150">
        <f>IFERROR(VLOOKUP($M142,'1 b felosztások'!$A:$AE,'1 b felosztások'!E$2,0)*$I142,0)</f>
        <v>0</v>
      </c>
      <c r="Q142" s="150">
        <f>IFERROR(VLOOKUP($M142,'1 b felosztások'!$A:$AE,'1 b felosztások'!F$2,0)*$I142,0)</f>
        <v>0</v>
      </c>
      <c r="R142" s="150">
        <f>IFERROR(VLOOKUP($M142,'1 b felosztások'!$A:$AE,'1 b felosztások'!G$2,0)*$I142,0)</f>
        <v>0</v>
      </c>
      <c r="S142" s="150">
        <f>IFERROR(VLOOKUP($M142,'1 b felosztások'!$A:$AE,'1 b felosztások'!H$2,0)*$I142,0)</f>
        <v>0</v>
      </c>
      <c r="T142" s="150">
        <f>IFERROR(VLOOKUP($M142,'1 b felosztások'!$A:$AE,'1 b felosztások'!I$2,0)*$I142,0)</f>
        <v>0</v>
      </c>
      <c r="U142" s="150">
        <f>IFERROR(VLOOKUP($M142,'1 b felosztások'!$A:$AE,'1 b felosztások'!J$2,0)*$I142,0)</f>
        <v>0</v>
      </c>
      <c r="V142" s="150">
        <f>IFERROR(VLOOKUP($M142,'1 b felosztások'!$A:$AE,'1 b felosztások'!K$2,0)*$I142,0)</f>
        <v>0</v>
      </c>
      <c r="W142" s="150">
        <f>IFERROR(VLOOKUP($M142,'1 b felosztások'!$A:$AE,'1 b felosztások'!L$2,0)*$I142,0)</f>
        <v>0</v>
      </c>
      <c r="X142" s="150">
        <f>IFERROR(VLOOKUP($M142,'1 b felosztások'!$A:$AE,'1 b felosztások'!M$2,0)*$I142,0)</f>
        <v>0</v>
      </c>
      <c r="Y142" s="150">
        <f>IFERROR(VLOOKUP($M142,'1 b felosztások'!$A:$AE,'1 b felosztások'!N$2,0)*$I142,0)</f>
        <v>0</v>
      </c>
      <c r="Z142" s="150">
        <f>IFERROR(VLOOKUP($M142,'1 b felosztások'!$A:$AE,'1 b felosztások'!O$2,0)*$I142,0)</f>
        <v>0</v>
      </c>
      <c r="AA142" s="150">
        <f>IFERROR(VLOOKUP($M142,'1 b felosztások'!$A:$AE,'1 b felosztások'!P$2,0)*$I142,0)</f>
        <v>0</v>
      </c>
      <c r="AB142" s="150">
        <f>IFERROR(VLOOKUP($M142,'1 b felosztások'!$A:$AE,'1 b felosztások'!Q$2,0)*$I142,0)</f>
        <v>0</v>
      </c>
      <c r="AC142" s="150"/>
      <c r="AD142" s="150"/>
      <c r="AE142" s="150"/>
      <c r="AF142" s="150"/>
      <c r="AG142" s="150"/>
      <c r="AH142" s="150"/>
      <c r="AI142" s="150"/>
      <c r="AJ142" s="150"/>
      <c r="AK142" s="150"/>
      <c r="AL142" s="150"/>
      <c r="AM142" s="150"/>
      <c r="AN142" s="150"/>
      <c r="AO142" s="150"/>
      <c r="AP142" s="150"/>
      <c r="AQ142" s="150"/>
      <c r="AR142" s="150"/>
      <c r="AS142" s="150"/>
      <c r="AT142" s="150"/>
      <c r="AU142" s="150"/>
      <c r="AV142" s="150"/>
      <c r="AW142" s="150"/>
      <c r="AX142" s="150"/>
      <c r="AY142" s="150"/>
      <c r="AZ142" s="150"/>
      <c r="BA142" s="150"/>
      <c r="BB142" s="150"/>
      <c r="BC142" s="170"/>
      <c r="BD142" s="170"/>
      <c r="BE142" s="170"/>
      <c r="BF142" s="170"/>
      <c r="BG142" s="170"/>
      <c r="BH142" s="170"/>
      <c r="BI142" s="170"/>
      <c r="BJ142" s="170"/>
      <c r="BK142" s="167">
        <f t="shared" si="114"/>
        <v>0</v>
      </c>
      <c r="BL142" s="167">
        <f t="shared" si="115"/>
        <v>0</v>
      </c>
      <c r="BM142" s="167">
        <f t="shared" si="116"/>
        <v>0</v>
      </c>
      <c r="BN142" s="167">
        <f t="shared" si="117"/>
        <v>0</v>
      </c>
    </row>
    <row r="143" spans="1:66" s="171" customFormat="1" hidden="1" outlineLevel="1" x14ac:dyDescent="0.3">
      <c r="A143" s="164">
        <v>27</v>
      </c>
      <c r="B143" s="164" t="s">
        <v>2</v>
      </c>
      <c r="C143" s="164" t="s">
        <v>63</v>
      </c>
      <c r="D143" s="164" t="s">
        <v>2831</v>
      </c>
      <c r="E143" s="164" t="str">
        <f>VLOOKUP(A143,'Bevétel 2a SZH 2023'!B:C,2,0)</f>
        <v>Belföldi-külföldi folyóirat és EISZ  elszámolás</v>
      </c>
      <c r="F143" s="164" t="s">
        <v>65</v>
      </c>
      <c r="G143" s="169"/>
      <c r="H143" s="164" t="s">
        <v>2</v>
      </c>
      <c r="I143" s="165">
        <f>IFERROR(VLOOKUP($A143,'Bevétel 2a SZH 2023'!$B:$L,MATCH($I$1,'Bevétel 2a SZH 2023'!$B$1:$L$1,0),0), )</f>
        <v>0</v>
      </c>
      <c r="J143" s="165">
        <f t="shared" si="112"/>
        <v>0</v>
      </c>
      <c r="K143" s="150">
        <f t="shared" si="113"/>
        <v>0</v>
      </c>
      <c r="L143" s="150">
        <f t="shared" si="118"/>
        <v>0</v>
      </c>
      <c r="M143" s="175">
        <v>1</v>
      </c>
      <c r="N143" s="150">
        <f>IFERROR(VLOOKUP($M143,'1 b felosztások'!$A:$AE,'1 b felosztások'!C$2,0)*$I143,0)</f>
        <v>0</v>
      </c>
      <c r="O143" s="150">
        <f>IFERROR(VLOOKUP($M143,'1 b felosztások'!$A:$AE,'1 b felosztások'!D$2,0)*$I143,0)</f>
        <v>0</v>
      </c>
      <c r="P143" s="150">
        <f>IFERROR(VLOOKUP($M143,'1 b felosztások'!$A:$AE,'1 b felosztások'!E$2,0)*$I143,0)</f>
        <v>0</v>
      </c>
      <c r="Q143" s="150">
        <f>IFERROR(VLOOKUP($M143,'1 b felosztások'!$A:$AE,'1 b felosztások'!F$2,0)*$I143,0)</f>
        <v>0</v>
      </c>
      <c r="R143" s="150">
        <f>IFERROR(VLOOKUP($M143,'1 b felosztások'!$A:$AE,'1 b felosztások'!G$2,0)*$I143,0)</f>
        <v>0</v>
      </c>
      <c r="S143" s="150">
        <f>IFERROR(VLOOKUP($M143,'1 b felosztások'!$A:$AE,'1 b felosztások'!H$2,0)*$I143,0)</f>
        <v>0</v>
      </c>
      <c r="T143" s="150">
        <f>IFERROR(VLOOKUP($M143,'1 b felosztások'!$A:$AE,'1 b felosztások'!I$2,0)*$I143,0)</f>
        <v>0</v>
      </c>
      <c r="U143" s="150">
        <f>IFERROR(VLOOKUP($M143,'1 b felosztások'!$A:$AE,'1 b felosztások'!J$2,0)*$I143,0)</f>
        <v>0</v>
      </c>
      <c r="V143" s="150">
        <f>IFERROR(VLOOKUP($M143,'1 b felosztások'!$A:$AE,'1 b felosztások'!K$2,0)*$I143,0)</f>
        <v>0</v>
      </c>
      <c r="W143" s="150">
        <f>IFERROR(VLOOKUP($M143,'1 b felosztások'!$A:$AE,'1 b felosztások'!L$2,0)*$I143,0)</f>
        <v>0</v>
      </c>
      <c r="X143" s="150">
        <f>IFERROR(VLOOKUP($M143,'1 b felosztások'!$A:$AE,'1 b felosztások'!M$2,0)*$I143,0)</f>
        <v>0</v>
      </c>
      <c r="Y143" s="150">
        <f>IFERROR(VLOOKUP($M143,'1 b felosztások'!$A:$AE,'1 b felosztások'!N$2,0)*$I143,0)</f>
        <v>0</v>
      </c>
      <c r="Z143" s="150">
        <f>IFERROR(VLOOKUP($M143,'1 b felosztások'!$A:$AE,'1 b felosztások'!O$2,0)*$I143,0)</f>
        <v>0</v>
      </c>
      <c r="AA143" s="150">
        <f>IFERROR(VLOOKUP($M143,'1 b felosztások'!$A:$AE,'1 b felosztások'!P$2,0)*$I143,0)</f>
        <v>0</v>
      </c>
      <c r="AB143" s="150">
        <f>IFERROR(VLOOKUP($M143,'1 b felosztások'!$A:$AE,'1 b felosztások'!Q$2,0)*$I143,0)</f>
        <v>0</v>
      </c>
      <c r="AC143" s="150"/>
      <c r="AD143" s="150"/>
      <c r="AE143" s="150"/>
      <c r="AF143" s="150"/>
      <c r="AG143" s="150"/>
      <c r="AH143" s="150"/>
      <c r="AI143" s="150"/>
      <c r="AJ143" s="150"/>
      <c r="AK143" s="150"/>
      <c r="AL143" s="150"/>
      <c r="AM143" s="150"/>
      <c r="AN143" s="150"/>
      <c r="AO143" s="150"/>
      <c r="AP143" s="150"/>
      <c r="AQ143" s="150"/>
      <c r="AR143" s="150"/>
      <c r="AS143" s="150"/>
      <c r="AT143" s="150"/>
      <c r="AU143" s="150"/>
      <c r="AV143" s="150"/>
      <c r="AW143" s="150"/>
      <c r="AX143" s="150"/>
      <c r="AY143" s="150"/>
      <c r="AZ143" s="150"/>
      <c r="BA143" s="150"/>
      <c r="BB143" s="150"/>
      <c r="BC143" s="170"/>
      <c r="BD143" s="170"/>
      <c r="BE143" s="170"/>
      <c r="BF143" s="170"/>
      <c r="BG143" s="170"/>
      <c r="BH143" s="170"/>
      <c r="BI143" s="170"/>
      <c r="BJ143" s="170"/>
      <c r="BK143" s="167">
        <f t="shared" si="114"/>
        <v>0</v>
      </c>
      <c r="BL143" s="167">
        <f t="shared" si="115"/>
        <v>0</v>
      </c>
      <c r="BM143" s="167">
        <f t="shared" si="116"/>
        <v>0</v>
      </c>
      <c r="BN143" s="167">
        <f t="shared" si="117"/>
        <v>0</v>
      </c>
    </row>
    <row r="144" spans="1:66" s="171" customFormat="1" hidden="1" outlineLevel="1" x14ac:dyDescent="0.3">
      <c r="A144" s="164" t="s">
        <v>3765</v>
      </c>
      <c r="B144" s="164" t="s">
        <v>2</v>
      </c>
      <c r="C144" s="164" t="s">
        <v>63</v>
      </c>
      <c r="D144" s="164" t="s">
        <v>2831</v>
      </c>
      <c r="E144" s="164" t="str">
        <f>VLOOKUP(A144,'Bevétel 2a SZH 2023'!B:C,2,0)</f>
        <v>2022 évben végrehajtott  saját és egyéb képzési bevétel átoktatások korrekciója</v>
      </c>
      <c r="F144" s="164" t="s">
        <v>65</v>
      </c>
      <c r="G144" s="169"/>
      <c r="H144" s="164" t="s">
        <v>2</v>
      </c>
      <c r="I144" s="165">
        <f>IFERROR(VLOOKUP($A144,'Bevétel 2a SZH 2023'!$B:$L,MATCH($I$1,'Bevétel 2a SZH 2023'!$B$1:$L$1,0),0), )</f>
        <v>0</v>
      </c>
      <c r="J144" s="165">
        <f t="shared" si="112"/>
        <v>0</v>
      </c>
      <c r="K144" s="150">
        <f t="shared" si="113"/>
        <v>0</v>
      </c>
      <c r="L144" s="150">
        <f t="shared" si="118"/>
        <v>0</v>
      </c>
      <c r="M144" s="542">
        <v>2</v>
      </c>
      <c r="N144" s="150">
        <f>IFERROR(VLOOKUP($M144,'1 b felosztások'!$A:$AE,'1 b felosztások'!C$2,0)*$I144,0)</f>
        <v>0</v>
      </c>
      <c r="O144" s="150">
        <f>IFERROR(VLOOKUP($M144,'1 b felosztások'!$A:$AE,'1 b felosztások'!D$2,0)*$I144,0)</f>
        <v>0</v>
      </c>
      <c r="P144" s="150">
        <f>IFERROR(VLOOKUP($M144,'1 b felosztások'!$A:$AE,'1 b felosztások'!E$2,0)*$I144,0)</f>
        <v>0</v>
      </c>
      <c r="Q144" s="150">
        <f>IFERROR(VLOOKUP($M144,'1 b felosztások'!$A:$AE,'1 b felosztások'!F$2,0)*$I144,0)</f>
        <v>0</v>
      </c>
      <c r="R144" s="150">
        <f>IFERROR(VLOOKUP($M144,'1 b felosztások'!$A:$AE,'1 b felosztások'!G$2,0)*$I144,0)</f>
        <v>0</v>
      </c>
      <c r="S144" s="150">
        <f>IFERROR(VLOOKUP($M144,'1 b felosztások'!$A:$AE,'1 b felosztások'!H$2,0)*$I144,0)</f>
        <v>0</v>
      </c>
      <c r="T144" s="150">
        <f>IFERROR(VLOOKUP($M144,'1 b felosztások'!$A:$AE,'1 b felosztások'!I$2,0)*$I144,0)</f>
        <v>0</v>
      </c>
      <c r="U144" s="150">
        <f>IFERROR(VLOOKUP($M144,'1 b felosztások'!$A:$AE,'1 b felosztások'!J$2,0)*$I144,0)</f>
        <v>0</v>
      </c>
      <c r="V144" s="150">
        <f>IFERROR(VLOOKUP($M144,'1 b felosztások'!$A:$AE,'1 b felosztások'!K$2,0)*$I144,0)</f>
        <v>0</v>
      </c>
      <c r="W144" s="150">
        <f>IFERROR(VLOOKUP($M144,'1 b felosztások'!$A:$AE,'1 b felosztások'!L$2,0)*$I144,0)</f>
        <v>0</v>
      </c>
      <c r="X144" s="150">
        <f>IFERROR(VLOOKUP($M144,'1 b felosztások'!$A:$AE,'1 b felosztások'!M$2,0)*$I144,0)</f>
        <v>0</v>
      </c>
      <c r="Y144" s="150">
        <f>IFERROR(VLOOKUP($M144,'1 b felosztások'!$A:$AE,'1 b felosztások'!N$2,0)*$I144,0)</f>
        <v>0</v>
      </c>
      <c r="Z144" s="150">
        <f>IFERROR(VLOOKUP($M144,'1 b felosztások'!$A:$AE,'1 b felosztások'!O$2,0)*$I144,0)</f>
        <v>0</v>
      </c>
      <c r="AA144" s="150">
        <f>IFERROR(VLOOKUP($M144,'1 b felosztások'!$A:$AE,'1 b felosztások'!P$2,0)*$I144,0)</f>
        <v>0</v>
      </c>
      <c r="AB144" s="150">
        <f>IFERROR(VLOOKUP($M144,'1 b felosztások'!$A:$AE,'1 b felosztások'!Q$2,0)*$I144,0)</f>
        <v>0</v>
      </c>
      <c r="AC144" s="150"/>
      <c r="AD144" s="150"/>
      <c r="AE144" s="150"/>
      <c r="AF144" s="150"/>
      <c r="AG144" s="150"/>
      <c r="AH144" s="150"/>
      <c r="AI144" s="150"/>
      <c r="AJ144" s="150"/>
      <c r="AK144" s="150"/>
      <c r="AL144" s="150"/>
      <c r="AM144" s="150"/>
      <c r="AN144" s="150"/>
      <c r="AO144" s="150"/>
      <c r="AP144" s="150"/>
      <c r="AQ144" s="150"/>
      <c r="AR144" s="150"/>
      <c r="AS144" s="150"/>
      <c r="AT144" s="150"/>
      <c r="AU144" s="150"/>
      <c r="AV144" s="150"/>
      <c r="AW144" s="150"/>
      <c r="AX144" s="150"/>
      <c r="AY144" s="150"/>
      <c r="AZ144" s="150"/>
      <c r="BA144" s="150"/>
      <c r="BB144" s="150"/>
      <c r="BC144" s="170"/>
      <c r="BD144" s="170"/>
      <c r="BE144" s="170"/>
      <c r="BF144" s="170"/>
      <c r="BG144" s="170"/>
      <c r="BH144" s="170"/>
      <c r="BI144" s="170"/>
      <c r="BJ144" s="170"/>
      <c r="BK144" s="167">
        <f t="shared" si="114"/>
        <v>0</v>
      </c>
      <c r="BL144" s="167">
        <f t="shared" si="115"/>
        <v>0</v>
      </c>
      <c r="BM144" s="167">
        <f t="shared" si="116"/>
        <v>0</v>
      </c>
      <c r="BN144" s="167">
        <f t="shared" si="117"/>
        <v>0</v>
      </c>
    </row>
    <row r="145" spans="1:66" s="171" customFormat="1" hidden="1" outlineLevel="1" x14ac:dyDescent="0.3">
      <c r="A145" s="164" t="s">
        <v>3241</v>
      </c>
      <c r="B145" s="164" t="s">
        <v>2</v>
      </c>
      <c r="C145" s="164" t="s">
        <v>63</v>
      </c>
      <c r="D145" s="164" t="s">
        <v>2831</v>
      </c>
      <c r="E145" s="164" t="str">
        <f>VLOOKUP(A145,'Bevétel 2a SZH 2023'!B:C,2,0)</f>
        <v>Elszámolások utáni ÁKTH -19,5% maradványban elszámolva</v>
      </c>
      <c r="F145" s="164" t="s">
        <v>65</v>
      </c>
      <c r="G145" s="169"/>
      <c r="H145" s="164" t="s">
        <v>2</v>
      </c>
      <c r="I145" s="165">
        <f>IFERROR(VLOOKUP($A145,'Bevétel 2a SZH 2023'!$B:$L,MATCH($I$1,'Bevétel 2a SZH 2023'!$B$1:$L$1,0),0), )</f>
        <v>0</v>
      </c>
      <c r="J145" s="165">
        <f t="shared" si="112"/>
        <v>0</v>
      </c>
      <c r="K145" s="150">
        <f t="shared" ref="K145:K148" si="119">+I145-J145</f>
        <v>0</v>
      </c>
      <c r="L145" s="150">
        <f t="shared" si="118"/>
        <v>0</v>
      </c>
      <c r="M145" s="542">
        <v>2</v>
      </c>
      <c r="N145" s="150">
        <f>IFERROR(VLOOKUP($M145,'1 b felosztások'!$A:$AE,'1 b felosztások'!C$2,0)*$I145,0)</f>
        <v>0</v>
      </c>
      <c r="O145" s="150">
        <f>IFERROR(VLOOKUP($M145,'1 b felosztások'!$A:$AE,'1 b felosztások'!D$2,0)*$I145,0)</f>
        <v>0</v>
      </c>
      <c r="P145" s="150">
        <f>IFERROR(VLOOKUP($M145,'1 b felosztások'!$A:$AE,'1 b felosztások'!E$2,0)*$I145,0)</f>
        <v>0</v>
      </c>
      <c r="Q145" s="150">
        <f>IFERROR(VLOOKUP($M145,'1 b felosztások'!$A:$AE,'1 b felosztások'!F$2,0)*$I145,0)</f>
        <v>0</v>
      </c>
      <c r="R145" s="150">
        <f>IFERROR(VLOOKUP($M145,'1 b felosztások'!$A:$AE,'1 b felosztások'!G$2,0)*$I145,0)</f>
        <v>0</v>
      </c>
      <c r="S145" s="150">
        <f>IFERROR(VLOOKUP($M145,'1 b felosztások'!$A:$AE,'1 b felosztások'!H$2,0)*$I145,0)</f>
        <v>0</v>
      </c>
      <c r="T145" s="150">
        <f>IFERROR(VLOOKUP($M145,'1 b felosztások'!$A:$AE,'1 b felosztások'!I$2,0)*$I145,0)</f>
        <v>0</v>
      </c>
      <c r="U145" s="150">
        <f>IFERROR(VLOOKUP($M145,'1 b felosztások'!$A:$AE,'1 b felosztások'!J$2,0)*$I145,0)</f>
        <v>0</v>
      </c>
      <c r="V145" s="150">
        <f>IFERROR(VLOOKUP($M145,'1 b felosztások'!$A:$AE,'1 b felosztások'!K$2,0)*$I145,0)</f>
        <v>0</v>
      </c>
      <c r="W145" s="150">
        <f>IFERROR(VLOOKUP($M145,'1 b felosztások'!$A:$AE,'1 b felosztások'!L$2,0)*$I145,0)</f>
        <v>0</v>
      </c>
      <c r="X145" s="150">
        <f>IFERROR(VLOOKUP($M145,'1 b felosztások'!$A:$AE,'1 b felosztások'!M$2,0)*$I145,0)</f>
        <v>0</v>
      </c>
      <c r="Y145" s="150">
        <f>IFERROR(VLOOKUP($M145,'1 b felosztások'!$A:$AE,'1 b felosztások'!N$2,0)*$I145,0)</f>
        <v>0</v>
      </c>
      <c r="Z145" s="150">
        <f>IFERROR(VLOOKUP($M145,'1 b felosztások'!$A:$AE,'1 b felosztások'!O$2,0)*$I145,0)</f>
        <v>0</v>
      </c>
      <c r="AA145" s="150">
        <f>IFERROR(VLOOKUP($M145,'1 b felosztások'!$A:$AE,'1 b felosztások'!P$2,0)*$I145,0)</f>
        <v>0</v>
      </c>
      <c r="AB145" s="150">
        <f>IFERROR(VLOOKUP($M145,'1 b felosztások'!$A:$AE,'1 b felosztások'!Q$2,0)*$I145,0)</f>
        <v>0</v>
      </c>
      <c r="AC145" s="150"/>
      <c r="AD145" s="150"/>
      <c r="AE145" s="150"/>
      <c r="AF145" s="150"/>
      <c r="AG145" s="150"/>
      <c r="AH145" s="150"/>
      <c r="AI145" s="150"/>
      <c r="AJ145" s="150"/>
      <c r="AK145" s="150"/>
      <c r="AL145" s="150"/>
      <c r="AM145" s="150"/>
      <c r="AN145" s="150"/>
      <c r="AO145" s="150"/>
      <c r="AP145" s="150"/>
      <c r="AQ145" s="150"/>
      <c r="AR145" s="150"/>
      <c r="AS145" s="150"/>
      <c r="AT145" s="150"/>
      <c r="AU145" s="150"/>
      <c r="AV145" s="150"/>
      <c r="AW145" s="150"/>
      <c r="AX145" s="150"/>
      <c r="AY145" s="150"/>
      <c r="AZ145" s="150"/>
      <c r="BA145" s="150"/>
      <c r="BB145" s="150"/>
      <c r="BC145" s="170"/>
      <c r="BD145" s="170"/>
      <c r="BE145" s="170"/>
      <c r="BF145" s="170"/>
      <c r="BG145" s="170"/>
      <c r="BH145" s="170"/>
      <c r="BI145" s="170"/>
      <c r="BJ145" s="170"/>
      <c r="BK145" s="167">
        <f t="shared" si="114"/>
        <v>0</v>
      </c>
      <c r="BL145" s="167">
        <f t="shared" si="115"/>
        <v>0</v>
      </c>
      <c r="BM145" s="167">
        <f t="shared" si="116"/>
        <v>0</v>
      </c>
      <c r="BN145" s="167">
        <f t="shared" si="117"/>
        <v>0</v>
      </c>
    </row>
    <row r="146" spans="1:66" s="171" customFormat="1" hidden="1" outlineLevel="1" x14ac:dyDescent="0.3">
      <c r="A146" s="164" t="s">
        <v>3242</v>
      </c>
      <c r="B146" s="164" t="s">
        <v>2</v>
      </c>
      <c r="C146" s="164" t="s">
        <v>63</v>
      </c>
      <c r="D146" s="164" t="s">
        <v>2831</v>
      </c>
      <c r="E146" s="164" t="str">
        <f>VLOOKUP(A146,'Bevétel 2a SZH 2023'!B:C,2,0)</f>
        <v>Elszámolások utáni kari -1,5% maradványban elszámolva</v>
      </c>
      <c r="F146" s="164" t="s">
        <v>65</v>
      </c>
      <c r="G146" s="169"/>
      <c r="H146" s="164" t="s">
        <v>2</v>
      </c>
      <c r="I146" s="165">
        <f>IFERROR(VLOOKUP($A146,'Bevétel 2a SZH 2023'!$B:$L,MATCH($I$1,'Bevétel 2a SZH 2023'!$B$1:$L$1,0),0), )</f>
        <v>0</v>
      </c>
      <c r="J146" s="165">
        <f t="shared" si="112"/>
        <v>0</v>
      </c>
      <c r="K146" s="150">
        <f t="shared" si="119"/>
        <v>0</v>
      </c>
      <c r="L146" s="150">
        <f t="shared" si="118"/>
        <v>0</v>
      </c>
      <c r="M146" s="542">
        <v>2</v>
      </c>
      <c r="N146" s="150">
        <f>IFERROR(VLOOKUP($M146,'1 b felosztások'!$A:$AE,'1 b felosztások'!C$2,0)*$I146,0)</f>
        <v>0</v>
      </c>
      <c r="O146" s="150">
        <f>IFERROR(VLOOKUP($M146,'1 b felosztások'!$A:$AE,'1 b felosztások'!D$2,0)*$I146,0)</f>
        <v>0</v>
      </c>
      <c r="P146" s="150">
        <f>IFERROR(VLOOKUP($M146,'1 b felosztások'!$A:$AE,'1 b felosztások'!E$2,0)*$I146,0)</f>
        <v>0</v>
      </c>
      <c r="Q146" s="150">
        <f>IFERROR(VLOOKUP($M146,'1 b felosztások'!$A:$AE,'1 b felosztások'!F$2,0)*$I146,0)</f>
        <v>0</v>
      </c>
      <c r="R146" s="150">
        <f>IFERROR(VLOOKUP($M146,'1 b felosztások'!$A:$AE,'1 b felosztások'!G$2,0)*$I146,0)</f>
        <v>0</v>
      </c>
      <c r="S146" s="150">
        <f>IFERROR(VLOOKUP($M146,'1 b felosztások'!$A:$AE,'1 b felosztások'!H$2,0)*$I146,0)</f>
        <v>0</v>
      </c>
      <c r="T146" s="150">
        <f>IFERROR(VLOOKUP($M146,'1 b felosztások'!$A:$AE,'1 b felosztások'!I$2,0)*$I146,0)</f>
        <v>0</v>
      </c>
      <c r="U146" s="150">
        <f>IFERROR(VLOOKUP($M146,'1 b felosztások'!$A:$AE,'1 b felosztások'!J$2,0)*$I146,0)</f>
        <v>0</v>
      </c>
      <c r="V146" s="150">
        <f>IFERROR(VLOOKUP($M146,'1 b felosztások'!$A:$AE,'1 b felosztások'!K$2,0)*$I146,0)</f>
        <v>0</v>
      </c>
      <c r="W146" s="150">
        <f>IFERROR(VLOOKUP($M146,'1 b felosztások'!$A:$AE,'1 b felosztások'!L$2,0)*$I146,0)</f>
        <v>0</v>
      </c>
      <c r="X146" s="150">
        <f>IFERROR(VLOOKUP($M146,'1 b felosztások'!$A:$AE,'1 b felosztások'!M$2,0)*$I146,0)</f>
        <v>0</v>
      </c>
      <c r="Y146" s="150">
        <f>IFERROR(VLOOKUP($M146,'1 b felosztások'!$A:$AE,'1 b felosztások'!N$2,0)*$I146,0)</f>
        <v>0</v>
      </c>
      <c r="Z146" s="150">
        <f>IFERROR(VLOOKUP($M146,'1 b felosztások'!$A:$AE,'1 b felosztások'!O$2,0)*$I146,0)</f>
        <v>0</v>
      </c>
      <c r="AA146" s="150">
        <f>IFERROR(VLOOKUP($M146,'1 b felosztások'!$A:$AE,'1 b felosztások'!P$2,0)*$I146,0)</f>
        <v>0</v>
      </c>
      <c r="AB146" s="150">
        <f>IFERROR(VLOOKUP($M146,'1 b felosztások'!$A:$AE,'1 b felosztások'!Q$2,0)*$I146,0)</f>
        <v>0</v>
      </c>
      <c r="AC146" s="150"/>
      <c r="AD146" s="150"/>
      <c r="AE146" s="150"/>
      <c r="AF146" s="150"/>
      <c r="AG146" s="150"/>
      <c r="AH146" s="150"/>
      <c r="AI146" s="150"/>
      <c r="AJ146" s="150"/>
      <c r="AK146" s="150"/>
      <c r="AL146" s="150"/>
      <c r="AM146" s="150"/>
      <c r="AN146" s="150"/>
      <c r="AO146" s="150"/>
      <c r="AP146" s="150"/>
      <c r="AQ146" s="150"/>
      <c r="AR146" s="150"/>
      <c r="AS146" s="150"/>
      <c r="AT146" s="150"/>
      <c r="AU146" s="150"/>
      <c r="AV146" s="150"/>
      <c r="AW146" s="150"/>
      <c r="AX146" s="150"/>
      <c r="AY146" s="150"/>
      <c r="AZ146" s="150"/>
      <c r="BA146" s="150"/>
      <c r="BB146" s="150"/>
      <c r="BC146" s="170"/>
      <c r="BD146" s="170"/>
      <c r="BE146" s="170"/>
      <c r="BF146" s="170"/>
      <c r="BG146" s="170"/>
      <c r="BH146" s="170"/>
      <c r="BI146" s="170"/>
      <c r="BJ146" s="170"/>
      <c r="BK146" s="167">
        <f t="shared" si="114"/>
        <v>0</v>
      </c>
      <c r="BL146" s="167">
        <f t="shared" si="115"/>
        <v>0</v>
      </c>
      <c r="BM146" s="167">
        <f t="shared" si="116"/>
        <v>0</v>
      </c>
      <c r="BN146" s="167">
        <f t="shared" si="117"/>
        <v>0</v>
      </c>
    </row>
    <row r="147" spans="1:66" s="171" customFormat="1" hidden="1" outlineLevel="1" x14ac:dyDescent="0.3">
      <c r="A147" s="164" t="s">
        <v>3244</v>
      </c>
      <c r="B147" s="164" t="s">
        <v>2</v>
      </c>
      <c r="C147" s="164" t="s">
        <v>63</v>
      </c>
      <c r="D147" s="164" t="s">
        <v>2831</v>
      </c>
      <c r="E147" s="164" t="str">
        <f>VLOOKUP(A147,'Bevétel 2a SZH 2023'!B:C,2,0)</f>
        <v>Karnál kari kiválósági +1,5% visszahagyás</v>
      </c>
      <c r="F147" s="164" t="s">
        <v>65</v>
      </c>
      <c r="G147" s="169"/>
      <c r="H147" s="164" t="s">
        <v>2</v>
      </c>
      <c r="I147" s="165">
        <f>IFERROR(VLOOKUP($A147,'Bevétel 2a SZH 2023'!$B:$L,MATCH($I$1,'Bevétel 2a SZH 2023'!$B$1:$L$1,0),0), )</f>
        <v>0</v>
      </c>
      <c r="J147" s="165">
        <f t="shared" si="112"/>
        <v>0</v>
      </c>
      <c r="K147" s="150">
        <f t="shared" si="119"/>
        <v>0</v>
      </c>
      <c r="L147" s="150">
        <f t="shared" si="118"/>
        <v>0</v>
      </c>
      <c r="M147" s="542">
        <v>2</v>
      </c>
      <c r="N147" s="150">
        <f>IFERROR(VLOOKUP($M147,'1 b felosztások'!$A:$AE,'1 b felosztások'!C$2,0)*$I147,0)</f>
        <v>0</v>
      </c>
      <c r="O147" s="150">
        <f>IFERROR(VLOOKUP($M147,'1 b felosztások'!$A:$AE,'1 b felosztások'!D$2,0)*$I147,0)</f>
        <v>0</v>
      </c>
      <c r="P147" s="150">
        <f>IFERROR(VLOOKUP($M147,'1 b felosztások'!$A:$AE,'1 b felosztások'!E$2,0)*$I147,0)</f>
        <v>0</v>
      </c>
      <c r="Q147" s="150">
        <f>IFERROR(VLOOKUP($M147,'1 b felosztások'!$A:$AE,'1 b felosztások'!F$2,0)*$I147,0)</f>
        <v>0</v>
      </c>
      <c r="R147" s="150">
        <f>IFERROR(VLOOKUP($M147,'1 b felosztások'!$A:$AE,'1 b felosztások'!G$2,0)*$I147,0)</f>
        <v>0</v>
      </c>
      <c r="S147" s="150">
        <f>IFERROR(VLOOKUP($M147,'1 b felosztások'!$A:$AE,'1 b felosztások'!H$2,0)*$I147,0)</f>
        <v>0</v>
      </c>
      <c r="T147" s="150">
        <f>IFERROR(VLOOKUP($M147,'1 b felosztások'!$A:$AE,'1 b felosztások'!I$2,0)*$I147,0)</f>
        <v>0</v>
      </c>
      <c r="U147" s="150">
        <f>IFERROR(VLOOKUP($M147,'1 b felosztások'!$A:$AE,'1 b felosztások'!J$2,0)*$I147,0)</f>
        <v>0</v>
      </c>
      <c r="V147" s="150">
        <f>IFERROR(VLOOKUP($M147,'1 b felosztások'!$A:$AE,'1 b felosztások'!K$2,0)*$I147,0)</f>
        <v>0</v>
      </c>
      <c r="W147" s="150">
        <f>IFERROR(VLOOKUP($M147,'1 b felosztások'!$A:$AE,'1 b felosztások'!L$2,0)*$I147,0)</f>
        <v>0</v>
      </c>
      <c r="X147" s="150">
        <f>IFERROR(VLOOKUP($M147,'1 b felosztások'!$A:$AE,'1 b felosztások'!M$2,0)*$I147,0)</f>
        <v>0</v>
      </c>
      <c r="Y147" s="150">
        <f>IFERROR(VLOOKUP($M147,'1 b felosztások'!$A:$AE,'1 b felosztások'!N$2,0)*$I147,0)</f>
        <v>0</v>
      </c>
      <c r="Z147" s="150">
        <f>IFERROR(VLOOKUP($M147,'1 b felosztások'!$A:$AE,'1 b felosztások'!O$2,0)*$I147,0)</f>
        <v>0</v>
      </c>
      <c r="AA147" s="150">
        <f>IFERROR(VLOOKUP($M147,'1 b felosztások'!$A:$AE,'1 b felosztások'!P$2,0)*$I147,0)</f>
        <v>0</v>
      </c>
      <c r="AB147" s="150">
        <f>IFERROR(VLOOKUP($M147,'1 b felosztások'!$A:$AE,'1 b felosztások'!Q$2,0)*$I147,0)</f>
        <v>0</v>
      </c>
      <c r="AC147" s="150"/>
      <c r="AD147" s="150"/>
      <c r="AE147" s="150"/>
      <c r="AF147" s="150"/>
      <c r="AG147" s="150"/>
      <c r="AH147" s="150"/>
      <c r="AI147" s="150"/>
      <c r="AJ147" s="150"/>
      <c r="AK147" s="150"/>
      <c r="AL147" s="150"/>
      <c r="AM147" s="150"/>
      <c r="AN147" s="150"/>
      <c r="AO147" s="150"/>
      <c r="AP147" s="150"/>
      <c r="AQ147" s="150"/>
      <c r="AR147" s="150"/>
      <c r="AS147" s="150"/>
      <c r="AT147" s="150"/>
      <c r="AU147" s="150"/>
      <c r="AV147" s="150"/>
      <c r="AW147" s="150"/>
      <c r="AX147" s="150"/>
      <c r="AY147" s="150"/>
      <c r="AZ147" s="150"/>
      <c r="BA147" s="150"/>
      <c r="BB147" s="150"/>
      <c r="BC147" s="170"/>
      <c r="BD147" s="170"/>
      <c r="BE147" s="170"/>
      <c r="BF147" s="170"/>
      <c r="BG147" s="170"/>
      <c r="BH147" s="170"/>
      <c r="BI147" s="170"/>
      <c r="BJ147" s="170"/>
      <c r="BK147" s="167">
        <f t="shared" si="114"/>
        <v>0</v>
      </c>
      <c r="BL147" s="167">
        <f t="shared" si="115"/>
        <v>0</v>
      </c>
      <c r="BM147" s="167">
        <f t="shared" si="116"/>
        <v>0</v>
      </c>
      <c r="BN147" s="167">
        <f t="shared" si="117"/>
        <v>0</v>
      </c>
    </row>
    <row r="148" spans="1:66" s="171" customFormat="1" hidden="1" outlineLevel="1" x14ac:dyDescent="0.3">
      <c r="A148" s="164" t="s">
        <v>3246</v>
      </c>
      <c r="B148" s="164" t="s">
        <v>2</v>
      </c>
      <c r="C148" s="164" t="s">
        <v>63</v>
      </c>
      <c r="D148" s="164" t="s">
        <v>2831</v>
      </c>
      <c r="E148" s="164" t="str">
        <f>VLOOKUP(A148,'Bevétel 2a SZH 2023'!B:C,2,0)</f>
        <v>Elszámolások utáni egyetemi kiválósági -0,5% maradványban elszámolva</v>
      </c>
      <c r="F148" s="164" t="s">
        <v>65</v>
      </c>
      <c r="G148" s="169"/>
      <c r="H148" s="164" t="s">
        <v>2</v>
      </c>
      <c r="I148" s="165">
        <f>IFERROR(VLOOKUP($A148,'Bevétel 2a SZH 2023'!$B:$L,MATCH($I$1,'Bevétel 2a SZH 2023'!$B$1:$L$1,0),0), )</f>
        <v>0</v>
      </c>
      <c r="J148" s="165">
        <f t="shared" si="112"/>
        <v>0</v>
      </c>
      <c r="K148" s="150">
        <f t="shared" si="119"/>
        <v>0</v>
      </c>
      <c r="L148" s="150">
        <f t="shared" si="118"/>
        <v>0</v>
      </c>
      <c r="M148" s="542">
        <v>2</v>
      </c>
      <c r="N148" s="150">
        <f>IFERROR(VLOOKUP($M148,'1 b felosztások'!$A:$AE,'1 b felosztások'!C$2,0)*$I148,0)</f>
        <v>0</v>
      </c>
      <c r="O148" s="150">
        <f>IFERROR(VLOOKUP($M148,'1 b felosztások'!$A:$AE,'1 b felosztások'!D$2,0)*$I148,0)</f>
        <v>0</v>
      </c>
      <c r="P148" s="150">
        <f>IFERROR(VLOOKUP($M148,'1 b felosztások'!$A:$AE,'1 b felosztások'!E$2,0)*$I148,0)</f>
        <v>0</v>
      </c>
      <c r="Q148" s="150">
        <f>IFERROR(VLOOKUP($M148,'1 b felosztások'!$A:$AE,'1 b felosztások'!F$2,0)*$I148,0)</f>
        <v>0</v>
      </c>
      <c r="R148" s="150">
        <f>IFERROR(VLOOKUP($M148,'1 b felosztások'!$A:$AE,'1 b felosztások'!G$2,0)*$I148,0)</f>
        <v>0</v>
      </c>
      <c r="S148" s="150">
        <f>IFERROR(VLOOKUP($M148,'1 b felosztások'!$A:$AE,'1 b felosztások'!H$2,0)*$I148,0)</f>
        <v>0</v>
      </c>
      <c r="T148" s="150">
        <f>IFERROR(VLOOKUP($M148,'1 b felosztások'!$A:$AE,'1 b felosztások'!I$2,0)*$I148,0)</f>
        <v>0</v>
      </c>
      <c r="U148" s="150">
        <f>IFERROR(VLOOKUP($M148,'1 b felosztások'!$A:$AE,'1 b felosztások'!J$2,0)*$I148,0)</f>
        <v>0</v>
      </c>
      <c r="V148" s="150">
        <f>IFERROR(VLOOKUP($M148,'1 b felosztások'!$A:$AE,'1 b felosztások'!K$2,0)*$I148,0)</f>
        <v>0</v>
      </c>
      <c r="W148" s="150">
        <f>IFERROR(VLOOKUP($M148,'1 b felosztások'!$A:$AE,'1 b felosztások'!L$2,0)*$I148,0)</f>
        <v>0</v>
      </c>
      <c r="X148" s="150">
        <f>IFERROR(VLOOKUP($M148,'1 b felosztások'!$A:$AE,'1 b felosztások'!M$2,0)*$I148,0)</f>
        <v>0</v>
      </c>
      <c r="Y148" s="150">
        <f>IFERROR(VLOOKUP($M148,'1 b felosztások'!$A:$AE,'1 b felosztások'!N$2,0)*$I148,0)</f>
        <v>0</v>
      </c>
      <c r="Z148" s="150">
        <f>IFERROR(VLOOKUP($M148,'1 b felosztások'!$A:$AE,'1 b felosztások'!O$2,0)*$I148,0)</f>
        <v>0</v>
      </c>
      <c r="AA148" s="150">
        <f>IFERROR(VLOOKUP($M148,'1 b felosztások'!$A:$AE,'1 b felosztások'!P$2,0)*$I148,0)</f>
        <v>0</v>
      </c>
      <c r="AB148" s="150">
        <f>IFERROR(VLOOKUP($M148,'1 b felosztások'!$A:$AE,'1 b felosztások'!Q$2,0)*$I148,0)</f>
        <v>0</v>
      </c>
      <c r="AC148" s="150"/>
      <c r="AD148" s="150"/>
      <c r="AE148" s="150"/>
      <c r="AF148" s="150"/>
      <c r="AG148" s="150"/>
      <c r="AH148" s="150"/>
      <c r="AI148" s="150"/>
      <c r="AJ148" s="150"/>
      <c r="AK148" s="150"/>
      <c r="AL148" s="150"/>
      <c r="AM148" s="150"/>
      <c r="AN148" s="150"/>
      <c r="AO148" s="150"/>
      <c r="AP148" s="150"/>
      <c r="AQ148" s="150"/>
      <c r="AR148" s="150"/>
      <c r="AS148" s="150"/>
      <c r="AT148" s="150"/>
      <c r="AU148" s="150"/>
      <c r="AV148" s="150"/>
      <c r="AW148" s="150"/>
      <c r="AX148" s="150"/>
      <c r="AY148" s="150"/>
      <c r="AZ148" s="150"/>
      <c r="BA148" s="150"/>
      <c r="BB148" s="150"/>
      <c r="BC148" s="170"/>
      <c r="BD148" s="170"/>
      <c r="BE148" s="170"/>
      <c r="BF148" s="170"/>
      <c r="BG148" s="170"/>
      <c r="BH148" s="170"/>
      <c r="BI148" s="170"/>
      <c r="BJ148" s="170"/>
      <c r="BK148" s="167">
        <f t="shared" si="114"/>
        <v>0</v>
      </c>
      <c r="BL148" s="167">
        <f t="shared" si="115"/>
        <v>0</v>
      </c>
      <c r="BM148" s="167">
        <f t="shared" si="116"/>
        <v>0</v>
      </c>
      <c r="BN148" s="167">
        <f t="shared" si="117"/>
        <v>0</v>
      </c>
    </row>
    <row r="149" spans="1:66" s="171" customFormat="1" hidden="1" outlineLevel="1" x14ac:dyDescent="0.3">
      <c r="A149" s="164">
        <v>31</v>
      </c>
      <c r="B149" s="164" t="s">
        <v>2</v>
      </c>
      <c r="C149" s="164" t="s">
        <v>63</v>
      </c>
      <c r="D149" s="164" t="s">
        <v>2831</v>
      </c>
      <c r="E149" s="164" t="str">
        <f>VLOOKUP(A149,'Bevétel 2a SZH 2023'!B:C,2,0)</f>
        <v xml:space="preserve">2022. 3-4. negyedévi telefon költség elszámolás </v>
      </c>
      <c r="F149" s="164" t="s">
        <v>65</v>
      </c>
      <c r="G149" s="169"/>
      <c r="H149" s="164" t="s">
        <v>2</v>
      </c>
      <c r="I149" s="165">
        <f>IFERROR(VLOOKUP($A149,'Bevétel 2a SZH 2023'!$B:$L,MATCH($I$1,'Bevétel 2a SZH 2023'!$B$1:$L$1,0),0), )</f>
        <v>0</v>
      </c>
      <c r="J149" s="165">
        <f t="shared" si="112"/>
        <v>0</v>
      </c>
      <c r="K149" s="150">
        <f t="shared" si="113"/>
        <v>0</v>
      </c>
      <c r="L149" s="150">
        <f t="shared" si="118"/>
        <v>0</v>
      </c>
      <c r="M149" s="173"/>
      <c r="N149" s="184"/>
      <c r="O149" s="184"/>
      <c r="P149" s="184"/>
      <c r="Q149" s="184"/>
      <c r="R149" s="184"/>
      <c r="S149" s="184"/>
      <c r="T149" s="184"/>
      <c r="U149" s="184"/>
      <c r="V149" s="184"/>
      <c r="W149" s="184"/>
      <c r="X149" s="184"/>
      <c r="Y149" s="184"/>
      <c r="Z149" s="184"/>
      <c r="AA149" s="184"/>
      <c r="AB149" s="184"/>
      <c r="AC149" s="184"/>
      <c r="AD149" s="184"/>
      <c r="AE149" s="184"/>
      <c r="AF149" s="184"/>
      <c r="AG149" s="184"/>
      <c r="AH149" s="184"/>
      <c r="AI149" s="184"/>
      <c r="AJ149" s="184"/>
      <c r="AK149" s="184"/>
      <c r="AL149" s="184"/>
      <c r="AM149" s="184"/>
      <c r="AN149" s="184"/>
      <c r="AO149" s="184"/>
      <c r="AP149" s="150"/>
      <c r="AQ149" s="150"/>
      <c r="AR149" s="150"/>
      <c r="AS149" s="150"/>
      <c r="AT149" s="150"/>
      <c r="AU149" s="150"/>
      <c r="AV149" s="150"/>
      <c r="AW149" s="150"/>
      <c r="AX149" s="150"/>
      <c r="AY149" s="150"/>
      <c r="AZ149" s="150"/>
      <c r="BA149" s="150"/>
      <c r="BB149" s="150"/>
      <c r="BC149" s="170"/>
      <c r="BD149" s="170"/>
      <c r="BE149" s="170"/>
      <c r="BF149" s="170"/>
      <c r="BG149" s="170"/>
      <c r="BH149" s="170"/>
      <c r="BI149" s="170"/>
      <c r="BJ149" s="170"/>
      <c r="BK149" s="167">
        <f t="shared" si="114"/>
        <v>0</v>
      </c>
      <c r="BL149" s="167">
        <f t="shared" si="115"/>
        <v>0</v>
      </c>
      <c r="BM149" s="167">
        <f t="shared" si="116"/>
        <v>0</v>
      </c>
      <c r="BN149" s="167">
        <f t="shared" si="117"/>
        <v>0</v>
      </c>
    </row>
    <row r="150" spans="1:66" s="171" customFormat="1" hidden="1" outlineLevel="1" x14ac:dyDescent="0.3">
      <c r="A150" s="164">
        <v>32</v>
      </c>
      <c r="B150" s="164" t="s">
        <v>2</v>
      </c>
      <c r="C150" s="164" t="s">
        <v>63</v>
      </c>
      <c r="D150" s="164" t="s">
        <v>2831</v>
      </c>
      <c r="E150" s="164" t="str">
        <f>VLOOKUP(A150,'Bevétel 2a SZH 2023'!B:C,2,0)</f>
        <v>2022. évi telefon kötváll felszabadítás</v>
      </c>
      <c r="F150" s="164" t="s">
        <v>65</v>
      </c>
      <c r="G150" s="169"/>
      <c r="H150" s="164" t="s">
        <v>2</v>
      </c>
      <c r="I150" s="165">
        <f>IFERROR(VLOOKUP($A150,'Bevétel 2a SZH 2023'!$B:$L,MATCH($I$1,'Bevétel 2a SZH 2023'!$B$1:$L$1,0),0), )</f>
        <v>0</v>
      </c>
      <c r="J150" s="165">
        <f t="shared" si="112"/>
        <v>0</v>
      </c>
      <c r="K150" s="150">
        <f t="shared" si="113"/>
        <v>0</v>
      </c>
      <c r="L150" s="150">
        <f t="shared" si="118"/>
        <v>0</v>
      </c>
      <c r="M150" s="173"/>
      <c r="N150" s="184"/>
      <c r="O150" s="184"/>
      <c r="P150" s="184"/>
      <c r="Q150" s="184"/>
      <c r="R150" s="184"/>
      <c r="S150" s="184"/>
      <c r="T150" s="184"/>
      <c r="U150" s="184"/>
      <c r="V150" s="184"/>
      <c r="W150" s="184"/>
      <c r="X150" s="184"/>
      <c r="Y150" s="184"/>
      <c r="Z150" s="184"/>
      <c r="AA150" s="184"/>
      <c r="AB150" s="184"/>
      <c r="AC150" s="184"/>
      <c r="AD150" s="184"/>
      <c r="AE150" s="184"/>
      <c r="AF150" s="184"/>
      <c r="AG150" s="184"/>
      <c r="AH150" s="184"/>
      <c r="AI150" s="184"/>
      <c r="AJ150" s="184"/>
      <c r="AK150" s="184"/>
      <c r="AL150" s="184"/>
      <c r="AM150" s="184"/>
      <c r="AN150" s="184"/>
      <c r="AO150" s="184"/>
      <c r="AP150" s="150"/>
      <c r="AQ150" s="150"/>
      <c r="AR150" s="150"/>
      <c r="AS150" s="150"/>
      <c r="AT150" s="150"/>
      <c r="AU150" s="150"/>
      <c r="AV150" s="150"/>
      <c r="AW150" s="150"/>
      <c r="AX150" s="150"/>
      <c r="AY150" s="150"/>
      <c r="AZ150" s="150"/>
      <c r="BA150" s="150"/>
      <c r="BB150" s="150"/>
      <c r="BC150" s="170"/>
      <c r="BD150" s="170"/>
      <c r="BE150" s="170"/>
      <c r="BF150" s="170"/>
      <c r="BG150" s="170"/>
      <c r="BH150" s="170"/>
      <c r="BI150" s="170"/>
      <c r="BJ150" s="170"/>
      <c r="BK150" s="167">
        <f t="shared" si="114"/>
        <v>0</v>
      </c>
      <c r="BL150" s="167">
        <f t="shared" si="115"/>
        <v>0</v>
      </c>
      <c r="BM150" s="167">
        <f t="shared" si="116"/>
        <v>0</v>
      </c>
      <c r="BN150" s="167">
        <f t="shared" si="117"/>
        <v>0</v>
      </c>
    </row>
    <row r="151" spans="1:66" s="171" customFormat="1" ht="42" customHeight="1" collapsed="1" x14ac:dyDescent="0.3">
      <c r="A151" s="180"/>
      <c r="B151" s="187" t="s">
        <v>2801</v>
      </c>
      <c r="C151" s="180" t="s">
        <v>2811</v>
      </c>
      <c r="D151" s="180" t="s">
        <v>2832</v>
      </c>
      <c r="E151" s="187" t="str">
        <f>+B151</f>
        <v>Bevételi egyenleg II. (Bevételi egyenleg I. + maradvány és korrekciói)</v>
      </c>
      <c r="F151" s="180"/>
      <c r="G151" s="189"/>
      <c r="H151" s="180"/>
      <c r="I151" s="181">
        <f>SUM(I136:I150)</f>
        <v>759817312.17637515</v>
      </c>
      <c r="J151" s="181">
        <f>SUM(J136:J150)</f>
        <v>759817311.84422767</v>
      </c>
      <c r="K151" s="181">
        <f>SUM(K136:K150)</f>
        <v>4.3321475386619568</v>
      </c>
      <c r="L151" s="181">
        <f>SUM(L136:L150)</f>
        <v>1023578650.5670508</v>
      </c>
      <c r="M151" s="181"/>
      <c r="N151" s="181">
        <f t="shared" ref="N151:AP151" si="120">SUM(N136:N150)</f>
        <v>120416431.77732176</v>
      </c>
      <c r="O151" s="181">
        <f t="shared" si="120"/>
        <v>31333734.825472388</v>
      </c>
      <c r="P151" s="181">
        <f t="shared" si="120"/>
        <v>6874037.8860465046</v>
      </c>
      <c r="Q151" s="181">
        <f t="shared" si="120"/>
        <v>40666413.155923143</v>
      </c>
      <c r="R151" s="181">
        <f t="shared" si="120"/>
        <v>15715202.535577457</v>
      </c>
      <c r="S151" s="181">
        <f t="shared" si="120"/>
        <v>38986545.053438</v>
      </c>
      <c r="T151" s="181">
        <f t="shared" si="120"/>
        <v>18102673.267348088</v>
      </c>
      <c r="U151" s="181">
        <f t="shared" si="120"/>
        <v>47442723.591031097</v>
      </c>
      <c r="V151" s="181">
        <f t="shared" si="120"/>
        <v>58135463.055408038</v>
      </c>
      <c r="W151" s="181">
        <f t="shared" si="120"/>
        <v>49301792.403363511</v>
      </c>
      <c r="X151" s="181">
        <f t="shared" si="120"/>
        <v>29211657.007693339</v>
      </c>
      <c r="Y151" s="181">
        <f t="shared" si="120"/>
        <v>65234146.517716691</v>
      </c>
      <c r="Z151" s="181">
        <f t="shared" si="120"/>
        <v>27488316.53663417</v>
      </c>
      <c r="AA151" s="181">
        <f t="shared" si="120"/>
        <v>12125355.938862089</v>
      </c>
      <c r="AB151" s="181">
        <f t="shared" si="120"/>
        <v>0</v>
      </c>
      <c r="AC151" s="181">
        <f t="shared" si="120"/>
        <v>18249158.29239139</v>
      </c>
      <c r="AD151" s="181">
        <f t="shared" si="120"/>
        <v>-2983500</v>
      </c>
      <c r="AE151" s="181">
        <f t="shared" si="120"/>
        <v>-15000</v>
      </c>
      <c r="AF151" s="181">
        <f t="shared" si="120"/>
        <v>20444049</v>
      </c>
      <c r="AG151" s="181">
        <f t="shared" si="120"/>
        <v>0</v>
      </c>
      <c r="AH151" s="181">
        <f t="shared" si="120"/>
        <v>0</v>
      </c>
      <c r="AI151" s="181">
        <f t="shared" si="120"/>
        <v>0</v>
      </c>
      <c r="AJ151" s="181">
        <f t="shared" si="120"/>
        <v>0</v>
      </c>
      <c r="AK151" s="181">
        <f t="shared" si="120"/>
        <v>0</v>
      </c>
      <c r="AL151" s="181">
        <f t="shared" si="120"/>
        <v>0</v>
      </c>
      <c r="AM151" s="181">
        <f t="shared" si="120"/>
        <v>597355</v>
      </c>
      <c r="AN151" s="181">
        <f t="shared" si="120"/>
        <v>18862958</v>
      </c>
      <c r="AO151" s="181">
        <f t="shared" si="120"/>
        <v>143627794</v>
      </c>
      <c r="AP151" s="181">
        <f t="shared" si="120"/>
        <v>1268176</v>
      </c>
      <c r="AQ151" s="181"/>
      <c r="AR151" s="181">
        <f t="shared" ref="AR151:BJ151" si="121">SUM(AR136:AR150)</f>
        <v>188646702.77000248</v>
      </c>
      <c r="AS151" s="181">
        <f t="shared" si="121"/>
        <v>42158065</v>
      </c>
      <c r="AT151" s="181">
        <f t="shared" si="121"/>
        <v>95377.41</v>
      </c>
      <c r="AU151" s="181">
        <f t="shared" si="121"/>
        <v>4837094.942820576</v>
      </c>
      <c r="AV151" s="181">
        <f t="shared" si="121"/>
        <v>0</v>
      </c>
      <c r="AW151" s="181">
        <f t="shared" si="121"/>
        <v>0</v>
      </c>
      <c r="AX151" s="181">
        <f t="shared" si="121"/>
        <v>0</v>
      </c>
      <c r="AY151" s="181">
        <f t="shared" si="121"/>
        <v>0</v>
      </c>
      <c r="AZ151" s="181">
        <f t="shared" si="121"/>
        <v>0</v>
      </c>
      <c r="BA151" s="181">
        <f t="shared" si="121"/>
        <v>0</v>
      </c>
      <c r="BB151" s="181">
        <f t="shared" si="121"/>
        <v>6979623.5999999996</v>
      </c>
      <c r="BC151" s="181">
        <f t="shared" si="121"/>
        <v>0</v>
      </c>
      <c r="BD151" s="181">
        <f t="shared" si="121"/>
        <v>0</v>
      </c>
      <c r="BE151" s="181">
        <f t="shared" si="121"/>
        <v>0</v>
      </c>
      <c r="BF151" s="181">
        <f t="shared" si="121"/>
        <v>0</v>
      </c>
      <c r="BG151" s="181">
        <f t="shared" si="121"/>
        <v>0</v>
      </c>
      <c r="BH151" s="181">
        <f t="shared" si="121"/>
        <v>9644473</v>
      </c>
      <c r="BI151" s="181">
        <f t="shared" si="121"/>
        <v>0</v>
      </c>
      <c r="BJ151" s="181">
        <f t="shared" si="121"/>
        <v>0</v>
      </c>
      <c r="BK151" s="181">
        <f t="shared" si="114"/>
        <v>561034493.55183625</v>
      </c>
      <c r="BL151" s="181">
        <f t="shared" si="115"/>
        <v>0</v>
      </c>
      <c r="BM151" s="181">
        <f t="shared" si="116"/>
        <v>198782814.29239139</v>
      </c>
      <c r="BN151" s="181">
        <f t="shared" si="117"/>
        <v>253629512.72282305</v>
      </c>
    </row>
    <row r="152" spans="1:66" s="171" customFormat="1" hidden="1" outlineLevel="1" x14ac:dyDescent="0.3">
      <c r="A152" s="183">
        <v>34</v>
      </c>
      <c r="B152" s="183" t="str">
        <f>+E152</f>
        <v>2022. évi képzési támogatás elszámolás - bruttó - minisztérium által  visszaigazolt  összeg 2022.12.09-i "képzési elszámolás" arányainak (visszafizetés maradványból)</v>
      </c>
      <c r="C152" s="183" t="s">
        <v>63</v>
      </c>
      <c r="D152" s="183" t="s">
        <v>3581</v>
      </c>
      <c r="E152" s="183" t="str">
        <f>VLOOKUP(A152,'Bevétel 2a SZH 2023'!B:C,2,0)</f>
        <v>2022. évi képzési támogatás elszámolás - bruttó - minisztérium által  visszaigazolt  összeg 2022.12.09-i "képzési elszámolás" arányainak (visszafizetés maradványból)</v>
      </c>
      <c r="F152" s="183" t="s">
        <v>2696</v>
      </c>
      <c r="G152" s="183">
        <v>320</v>
      </c>
      <c r="H152" s="186" t="s">
        <v>680</v>
      </c>
      <c r="I152" s="165">
        <f>IFERROR(VLOOKUP($A152,'Bevétel 2a SZH 2023'!$B:$L,MATCH($I$1,'Bevétel 2a SZH 2023'!$B$1:$L$1,0),0), )</f>
        <v>1967164.0522306</v>
      </c>
      <c r="J152" s="165">
        <f t="shared" ref="J152:J190" si="122">SUM(N152:AO152)</f>
        <v>1967164.0522305996</v>
      </c>
      <c r="K152" s="150">
        <f t="shared" si="49"/>
        <v>0</v>
      </c>
      <c r="L152" s="150">
        <f t="shared" ref="L152:L177" si="123">SUM(N152:BJ152)</f>
        <v>1967164.0522305996</v>
      </c>
      <c r="M152" s="728">
        <v>7</v>
      </c>
      <c r="N152" s="150">
        <f>IFERROR(VLOOKUP($M152,'1 b felosztások'!$A:$AE,'1 b felosztások'!C$2,0)*$I152,0)</f>
        <v>513805.39003257244</v>
      </c>
      <c r="O152" s="150">
        <f>IFERROR(VLOOKUP($M152,'1 b felosztások'!$A:$AE,'1 b felosztások'!D$2,0)*$I152,0)</f>
        <v>82569.247805485691</v>
      </c>
      <c r="P152" s="150">
        <f>IFERROR(VLOOKUP($M152,'1 b felosztások'!$A:$AE,'1 b felosztások'!E$2,0)*$I152,0)</f>
        <v>14137.137016633231</v>
      </c>
      <c r="Q152" s="150">
        <f>IFERROR(VLOOKUP($M152,'1 b felosztások'!$A:$AE,'1 b felosztások'!F$2,0)*$I152,0)</f>
        <v>123815.13643433544</v>
      </c>
      <c r="R152" s="150">
        <f>IFERROR(VLOOKUP($M152,'1 b felosztások'!$A:$AE,'1 b felosztások'!G$2,0)*$I152,0)</f>
        <v>34324.252586429531</v>
      </c>
      <c r="S152" s="150">
        <f>IFERROR(VLOOKUP($M152,'1 b felosztások'!$A:$AE,'1 b felosztások'!H$2,0)*$I152,0)</f>
        <v>173843.98085287408</v>
      </c>
      <c r="T152" s="150">
        <f>IFERROR(VLOOKUP($M152,'1 b felosztások'!$A:$AE,'1 b felosztások'!I$2,0)*$I152,0)</f>
        <v>94264.120343835442</v>
      </c>
      <c r="U152" s="150">
        <f>IFERROR(VLOOKUP($M152,'1 b felosztások'!$A:$AE,'1 b felosztások'!J$2,0)*$I152,0)</f>
        <v>169101.66894985715</v>
      </c>
      <c r="V152" s="150">
        <f>IFERROR(VLOOKUP($M152,'1 b felosztások'!$A:$AE,'1 b felosztások'!K$2,0)*$I152,0)</f>
        <v>201999.71608086539</v>
      </c>
      <c r="W152" s="150">
        <f>IFERROR(VLOOKUP($M152,'1 b felosztások'!$A:$AE,'1 b felosztások'!L$2,0)*$I152,0)</f>
        <v>126078.00553590691</v>
      </c>
      <c r="X152" s="150">
        <f>IFERROR(VLOOKUP($M152,'1 b felosztások'!$A:$AE,'1 b felosztások'!M$2,0)*$I152,0)</f>
        <v>13780.65396997987</v>
      </c>
      <c r="Y152" s="150">
        <f>IFERROR(VLOOKUP($M152,'1 b felosztások'!$A:$AE,'1 b felosztások'!N$2,0)*$I152,0)</f>
        <v>359267.80155059445</v>
      </c>
      <c r="Z152" s="150">
        <f>IFERROR(VLOOKUP($M152,'1 b felosztások'!$A:$AE,'1 b felosztások'!O$2,0)*$I152,0)</f>
        <v>60176.9410712303</v>
      </c>
      <c r="AA152" s="150">
        <f>IFERROR(VLOOKUP($M152,'1 b felosztások'!$A:$AE,'1 b felosztások'!P$2,0)*$I152,0)</f>
        <v>0</v>
      </c>
      <c r="AB152" s="150"/>
      <c r="AC152" s="150"/>
      <c r="AD152" s="150"/>
      <c r="AE152" s="150"/>
      <c r="AF152" s="150"/>
      <c r="AG152" s="150"/>
      <c r="AH152" s="150"/>
      <c r="AI152" s="150"/>
      <c r="AJ152" s="150"/>
      <c r="AK152" s="150"/>
      <c r="AL152" s="150"/>
      <c r="AM152" s="150"/>
      <c r="AN152" s="150"/>
      <c r="AO152" s="150"/>
      <c r="AP152" s="150"/>
      <c r="AQ152" s="150"/>
      <c r="AR152" s="150"/>
      <c r="AS152" s="150"/>
      <c r="AT152" s="150"/>
      <c r="AU152" s="150"/>
      <c r="AV152" s="150"/>
      <c r="AW152" s="150"/>
      <c r="AX152" s="150"/>
      <c r="AY152" s="150"/>
      <c r="AZ152" s="150"/>
      <c r="BA152" s="150"/>
      <c r="BB152" s="150"/>
      <c r="BC152" s="170"/>
      <c r="BD152" s="170"/>
      <c r="BE152" s="170"/>
      <c r="BF152" s="170"/>
      <c r="BG152" s="170"/>
      <c r="BH152" s="170"/>
      <c r="BI152" s="170"/>
      <c r="BJ152" s="170"/>
      <c r="BK152" s="167">
        <f t="shared" si="114"/>
        <v>1967164.0522305996</v>
      </c>
      <c r="BL152" s="167">
        <f t="shared" si="115"/>
        <v>0</v>
      </c>
      <c r="BM152" s="167">
        <f t="shared" si="116"/>
        <v>0</v>
      </c>
      <c r="BN152" s="167">
        <f t="shared" si="117"/>
        <v>0</v>
      </c>
    </row>
    <row r="153" spans="1:66" s="171" customFormat="1" hidden="1" outlineLevel="1" x14ac:dyDescent="0.3">
      <c r="A153" s="183" t="s">
        <v>3771</v>
      </c>
      <c r="B153" s="183" t="str">
        <f t="shared" ref="B153:B156" si="124">+E153</f>
        <v>2022 évi Stipendium Hungaricum szervezési keret előelszámolás - bruttó - tervezett összeg (előzetes)</v>
      </c>
      <c r="C153" s="183" t="s">
        <v>63</v>
      </c>
      <c r="D153" s="183" t="s">
        <v>3582</v>
      </c>
      <c r="E153" s="183" t="str">
        <f>VLOOKUP(A153,'Bevétel 2a SZH 2023'!B:C,2,0)</f>
        <v>2022 évi Stipendium Hungaricum szervezési keret előelszámolás - bruttó - tervezett összeg (előzetes)</v>
      </c>
      <c r="F153" s="164" t="s">
        <v>65</v>
      </c>
      <c r="G153" s="169"/>
      <c r="H153" s="164" t="s">
        <v>2</v>
      </c>
      <c r="I153" s="165">
        <f>IFERROR(VLOOKUP($A153,'Bevétel 2a SZH 2023'!$B:$L,MATCH($I$1,'Bevétel 2a SZH 2023'!$B$1:$L$1,0),0), )</f>
        <v>0</v>
      </c>
      <c r="J153" s="165">
        <f t="shared" si="122"/>
        <v>0</v>
      </c>
      <c r="K153" s="150">
        <f t="shared" ref="K153:K164" si="125">+I153-J153</f>
        <v>0</v>
      </c>
      <c r="L153" s="150">
        <f t="shared" si="123"/>
        <v>0</v>
      </c>
      <c r="M153" s="542">
        <v>2</v>
      </c>
      <c r="N153" s="150">
        <f>IFERROR(VLOOKUP($M153,'1 b felosztások'!$A:$AE,'1 b felosztások'!C$2,0)*$I153,0)</f>
        <v>0</v>
      </c>
      <c r="O153" s="150">
        <f>IFERROR(VLOOKUP($M153,'1 b felosztások'!$A:$AE,'1 b felosztások'!D$2,0)*$I153,0)</f>
        <v>0</v>
      </c>
      <c r="P153" s="150">
        <f>IFERROR(VLOOKUP($M153,'1 b felosztások'!$A:$AE,'1 b felosztások'!E$2,0)*$I153,0)</f>
        <v>0</v>
      </c>
      <c r="Q153" s="150">
        <f>IFERROR(VLOOKUP($M153,'1 b felosztások'!$A:$AE,'1 b felosztások'!F$2,0)*$I153,0)</f>
        <v>0</v>
      </c>
      <c r="R153" s="150">
        <f>IFERROR(VLOOKUP($M153,'1 b felosztások'!$A:$AE,'1 b felosztások'!G$2,0)*$I153,0)</f>
        <v>0</v>
      </c>
      <c r="S153" s="150">
        <f>IFERROR(VLOOKUP($M153,'1 b felosztások'!$A:$AE,'1 b felosztások'!H$2,0)*$I153,0)</f>
        <v>0</v>
      </c>
      <c r="T153" s="150">
        <f>IFERROR(VLOOKUP($M153,'1 b felosztások'!$A:$AE,'1 b felosztások'!I$2,0)*$I153,0)</f>
        <v>0</v>
      </c>
      <c r="U153" s="150">
        <f>IFERROR(VLOOKUP($M153,'1 b felosztások'!$A:$AE,'1 b felosztások'!J$2,0)*$I153,0)</f>
        <v>0</v>
      </c>
      <c r="V153" s="150">
        <f>IFERROR(VLOOKUP($M153,'1 b felosztások'!$A:$AE,'1 b felosztások'!K$2,0)*$I153,0)</f>
        <v>0</v>
      </c>
      <c r="W153" s="150">
        <f>IFERROR(VLOOKUP($M153,'1 b felosztások'!$A:$AE,'1 b felosztások'!L$2,0)*$I153,0)</f>
        <v>0</v>
      </c>
      <c r="X153" s="150">
        <f>IFERROR(VLOOKUP($M153,'1 b felosztások'!$A:$AE,'1 b felosztások'!M$2,0)*$I153,0)</f>
        <v>0</v>
      </c>
      <c r="Y153" s="150">
        <f>IFERROR(VLOOKUP($M153,'1 b felosztások'!$A:$AE,'1 b felosztások'!N$2,0)*$I153,0)</f>
        <v>0</v>
      </c>
      <c r="Z153" s="150">
        <f>IFERROR(VLOOKUP($M153,'1 b felosztások'!$A:$AE,'1 b felosztások'!O$2,0)*$I153,0)</f>
        <v>0</v>
      </c>
      <c r="AA153" s="150">
        <f>IFERROR(VLOOKUP($M153,'1 b felosztások'!$A:$AE,'1 b felosztások'!P$2,0)*$I153,0)</f>
        <v>0</v>
      </c>
      <c r="AB153" s="150">
        <f>IFERROR(VLOOKUP($M153,'1 b felosztások'!$A:$AE,'1 b felosztások'!Q$2,0)*$I153,0)</f>
        <v>0</v>
      </c>
      <c r="AC153" s="150"/>
      <c r="AD153" s="150"/>
      <c r="AE153" s="150"/>
      <c r="AF153" s="150"/>
      <c r="AG153" s="150"/>
      <c r="AH153" s="150"/>
      <c r="AI153" s="150"/>
      <c r="AJ153" s="150"/>
      <c r="AK153" s="150"/>
      <c r="AL153" s="150"/>
      <c r="AM153" s="150"/>
      <c r="AN153" s="150"/>
      <c r="AO153" s="150"/>
      <c r="AP153" s="150"/>
      <c r="AQ153" s="150"/>
      <c r="AR153" s="150"/>
      <c r="AS153" s="150"/>
      <c r="AT153" s="150"/>
      <c r="AU153" s="150"/>
      <c r="AV153" s="150"/>
      <c r="AW153" s="150"/>
      <c r="AX153" s="150"/>
      <c r="AY153" s="150"/>
      <c r="AZ153" s="150"/>
      <c r="BA153" s="150"/>
      <c r="BB153" s="150"/>
      <c r="BC153" s="170"/>
      <c r="BD153" s="170"/>
      <c r="BE153" s="170"/>
      <c r="BF153" s="170"/>
      <c r="BG153" s="170">
        <f>-I153</f>
        <v>0</v>
      </c>
      <c r="BH153" s="170"/>
      <c r="BI153" s="170"/>
      <c r="BJ153" s="170"/>
      <c r="BK153" s="167">
        <f t="shared" si="114"/>
        <v>0</v>
      </c>
      <c r="BL153" s="167">
        <f t="shared" si="115"/>
        <v>0</v>
      </c>
      <c r="BM153" s="167">
        <f t="shared" si="116"/>
        <v>0</v>
      </c>
      <c r="BN153" s="167">
        <f t="shared" si="117"/>
        <v>0</v>
      </c>
    </row>
    <row r="154" spans="1:66" s="171" customFormat="1" hidden="1" outlineLevel="1" x14ac:dyDescent="0.3">
      <c r="A154" s="183" t="s">
        <v>3773</v>
      </c>
      <c r="B154" s="183" t="str">
        <f t="shared" si="124"/>
        <v>2022. évi SH képzési  támogatás elszámolás ELŐZETES összeg 2022.12.09-i "képzési elszámolás arányainak" megfelelően (visszafizetés maradványból)</v>
      </c>
      <c r="C154" s="183" t="s">
        <v>63</v>
      </c>
      <c r="D154" s="183" t="s">
        <v>3582</v>
      </c>
      <c r="E154" s="183" t="str">
        <f>VLOOKUP(A154,'Bevétel 2a SZH 2023'!B:C,2,0)</f>
        <v>2022. évi SH képzési  támogatás elszámolás ELŐZETES összeg 2022.12.09-i "képzési elszámolás arányainak" megfelelően (visszafizetés maradványból)</v>
      </c>
      <c r="F154" s="164" t="s">
        <v>65</v>
      </c>
      <c r="G154" s="169"/>
      <c r="H154" s="164" t="s">
        <v>2</v>
      </c>
      <c r="I154" s="165">
        <f>IFERROR(VLOOKUP($A154,'Bevétel 2a SZH 2023'!$B:$L,MATCH($I$1,'Bevétel 2a SZH 2023'!$B$1:$L$1,0),0), )</f>
        <v>-1687538.279215849</v>
      </c>
      <c r="J154" s="165">
        <f t="shared" ref="J154:J155" si="126">SUM(N154:AO154)</f>
        <v>-1687538.279215849</v>
      </c>
      <c r="K154" s="150">
        <f t="shared" ref="K154:K155" si="127">+I154-J154</f>
        <v>0</v>
      </c>
      <c r="L154" s="150">
        <f t="shared" si="123"/>
        <v>0</v>
      </c>
      <c r="M154" s="728">
        <v>18</v>
      </c>
      <c r="N154" s="150">
        <f>IFERROR(VLOOKUP($M154,'1 b felosztások'!$A:$AE,'1 b felosztások'!C$2,0)*$I154,0)</f>
        <v>0</v>
      </c>
      <c r="O154" s="150">
        <f>IFERROR(VLOOKUP($M154,'1 b felosztások'!$A:$AE,'1 b felosztások'!D$2,0)*$I154,0)</f>
        <v>0</v>
      </c>
      <c r="P154" s="150">
        <f>IFERROR(VLOOKUP($M154,'1 b felosztások'!$A:$AE,'1 b felosztások'!E$2,0)*$I154,0)</f>
        <v>0</v>
      </c>
      <c r="Q154" s="150">
        <f>IFERROR(VLOOKUP($M154,'1 b felosztások'!$A:$AE,'1 b felosztások'!F$2,0)*$I154,0)</f>
        <v>-320632.27305101132</v>
      </c>
      <c r="R154" s="150">
        <f>IFERROR(VLOOKUP($M154,'1 b felosztások'!$A:$AE,'1 b felosztások'!G$2,0)*$I154,0)</f>
        <v>-421884.56980396225</v>
      </c>
      <c r="S154" s="150">
        <f>IFERROR(VLOOKUP($M154,'1 b felosztások'!$A:$AE,'1 b felosztások'!H$2,0)*$I154,0)</f>
        <v>0</v>
      </c>
      <c r="T154" s="150">
        <f>IFERROR(VLOOKUP($M154,'1 b felosztások'!$A:$AE,'1 b felosztások'!I$2,0)*$I154,0)</f>
        <v>0</v>
      </c>
      <c r="U154" s="150">
        <f>IFERROR(VLOOKUP($M154,'1 b felosztások'!$A:$AE,'1 b felosztások'!J$2,0)*$I154,0)</f>
        <v>-590638.39772554708</v>
      </c>
      <c r="V154" s="150">
        <f>IFERROR(VLOOKUP($M154,'1 b felosztások'!$A:$AE,'1 b felosztások'!K$2,0)*$I154,0)</f>
        <v>0</v>
      </c>
      <c r="W154" s="150">
        <f>IFERROR(VLOOKUP($M154,'1 b felosztások'!$A:$AE,'1 b felosztások'!L$2,0)*$I154,0)</f>
        <v>-354383.0386353283</v>
      </c>
      <c r="X154" s="150">
        <f>IFERROR(VLOOKUP($M154,'1 b felosztások'!$A:$AE,'1 b felosztások'!M$2,0)*$I154,0)</f>
        <v>0</v>
      </c>
      <c r="Y154" s="150">
        <f>IFERROR(VLOOKUP($M154,'1 b felosztások'!$A:$AE,'1 b felosztások'!N$2,0)*$I154,0)</f>
        <v>0</v>
      </c>
      <c r="Z154" s="150">
        <f>IFERROR(VLOOKUP($M154,'1 b felosztások'!$A:$AE,'1 b felosztások'!O$2,0)*$I154,0)</f>
        <v>0</v>
      </c>
      <c r="AA154" s="150">
        <f>IFERROR(VLOOKUP($M154,'1 b felosztások'!$A:$AE,'1 b felosztások'!P$2,0)*$I154,0)</f>
        <v>0</v>
      </c>
      <c r="AB154" s="150">
        <f>IFERROR(VLOOKUP($M154,'1 b felosztások'!$A:$AE,'1 b felosztások'!Q$2,0)*$I154,0)</f>
        <v>0</v>
      </c>
      <c r="AC154" s="150"/>
      <c r="AD154" s="150"/>
      <c r="AE154" s="150"/>
      <c r="AF154" s="150"/>
      <c r="AG154" s="150"/>
      <c r="AH154" s="150"/>
      <c r="AI154" s="150"/>
      <c r="AJ154" s="150"/>
      <c r="AK154" s="150"/>
      <c r="AL154" s="150"/>
      <c r="AM154" s="150"/>
      <c r="AN154" s="150"/>
      <c r="AO154" s="150"/>
      <c r="AP154" s="150"/>
      <c r="AQ154" s="150"/>
      <c r="AR154" s="150"/>
      <c r="AS154" s="150"/>
      <c r="AT154" s="150"/>
      <c r="AU154" s="150"/>
      <c r="AV154" s="150"/>
      <c r="AW154" s="150"/>
      <c r="AX154" s="150"/>
      <c r="AY154" s="150"/>
      <c r="AZ154" s="150"/>
      <c r="BA154" s="150"/>
      <c r="BB154" s="150"/>
      <c r="BC154" s="170"/>
      <c r="BD154" s="170"/>
      <c r="BE154" s="170"/>
      <c r="BF154" s="170"/>
      <c r="BG154" s="170">
        <f t="shared" ref="BG154:BG155" si="128">-I154</f>
        <v>1687538.279215849</v>
      </c>
      <c r="BH154" s="170"/>
      <c r="BI154" s="170"/>
      <c r="BJ154" s="170"/>
      <c r="BK154" s="167">
        <f t="shared" si="114"/>
        <v>-1687538.279215849</v>
      </c>
      <c r="BL154" s="167">
        <f t="shared" si="115"/>
        <v>0</v>
      </c>
      <c r="BM154" s="167">
        <f t="shared" si="116"/>
        <v>0</v>
      </c>
      <c r="BN154" s="167">
        <f t="shared" si="117"/>
        <v>1687538.279215849</v>
      </c>
    </row>
    <row r="155" spans="1:66" s="171" customFormat="1" hidden="1" outlineLevel="1" x14ac:dyDescent="0.3">
      <c r="A155" s="183" t="s">
        <v>3775</v>
      </c>
      <c r="B155" s="183" t="str">
        <f t="shared" si="124"/>
        <v>2022 évi Stipendium Hungaricum képzési költség előelszámolás - bruttó (előzetes)</v>
      </c>
      <c r="C155" s="183" t="s">
        <v>63</v>
      </c>
      <c r="D155" s="183" t="s">
        <v>3582</v>
      </c>
      <c r="E155" s="183" t="str">
        <f>VLOOKUP(A155,'Bevétel 2a SZH 2023'!B:C,2,0)</f>
        <v>2022 évi Stipendium Hungaricum képzési költség előelszámolás - bruttó (előzetes)</v>
      </c>
      <c r="F155" s="164" t="s">
        <v>65</v>
      </c>
      <c r="G155" s="169"/>
      <c r="H155" s="164" t="s">
        <v>2</v>
      </c>
      <c r="I155" s="165">
        <f>IFERROR(VLOOKUP($A155,'Bevétel 2a SZH 2023'!$B:$L,MATCH($I$1,'Bevétel 2a SZH 2023'!$B$1:$L$1,0),0), )</f>
        <v>0</v>
      </c>
      <c r="J155" s="165">
        <f t="shared" si="126"/>
        <v>0</v>
      </c>
      <c r="K155" s="150">
        <f t="shared" si="127"/>
        <v>0</v>
      </c>
      <c r="L155" s="150">
        <f t="shared" si="123"/>
        <v>0</v>
      </c>
      <c r="M155" s="542">
        <v>2</v>
      </c>
      <c r="N155" s="150">
        <f>IFERROR(VLOOKUP($M155,'1 b felosztások'!$A:$AE,'1 b felosztások'!C$2,0)*$I155,0)</f>
        <v>0</v>
      </c>
      <c r="O155" s="150">
        <f>IFERROR(VLOOKUP($M155,'1 b felosztások'!$A:$AE,'1 b felosztások'!D$2,0)*$I155,0)</f>
        <v>0</v>
      </c>
      <c r="P155" s="150">
        <f>IFERROR(VLOOKUP($M155,'1 b felosztások'!$A:$AE,'1 b felosztások'!E$2,0)*$I155,0)</f>
        <v>0</v>
      </c>
      <c r="Q155" s="150">
        <f>IFERROR(VLOOKUP($M155,'1 b felosztások'!$A:$AE,'1 b felosztások'!F$2,0)*$I155,0)</f>
        <v>0</v>
      </c>
      <c r="R155" s="150">
        <f>IFERROR(VLOOKUP($M155,'1 b felosztások'!$A:$AE,'1 b felosztások'!G$2,0)*$I155,0)</f>
        <v>0</v>
      </c>
      <c r="S155" s="150">
        <f>IFERROR(VLOOKUP($M155,'1 b felosztások'!$A:$AE,'1 b felosztások'!H$2,0)*$I155,0)</f>
        <v>0</v>
      </c>
      <c r="T155" s="150">
        <f>IFERROR(VLOOKUP($M155,'1 b felosztások'!$A:$AE,'1 b felosztások'!I$2,0)*$I155,0)</f>
        <v>0</v>
      </c>
      <c r="U155" s="150">
        <f>IFERROR(VLOOKUP($M155,'1 b felosztások'!$A:$AE,'1 b felosztások'!J$2,0)*$I155,0)</f>
        <v>0</v>
      </c>
      <c r="V155" s="150">
        <f>IFERROR(VLOOKUP($M155,'1 b felosztások'!$A:$AE,'1 b felosztások'!K$2,0)*$I155,0)</f>
        <v>0</v>
      </c>
      <c r="W155" s="150">
        <f>IFERROR(VLOOKUP($M155,'1 b felosztások'!$A:$AE,'1 b felosztások'!L$2,0)*$I155,0)</f>
        <v>0</v>
      </c>
      <c r="X155" s="150">
        <f>IFERROR(VLOOKUP($M155,'1 b felosztások'!$A:$AE,'1 b felosztások'!M$2,0)*$I155,0)</f>
        <v>0</v>
      </c>
      <c r="Y155" s="150">
        <f>IFERROR(VLOOKUP($M155,'1 b felosztások'!$A:$AE,'1 b felosztások'!N$2,0)*$I155,0)</f>
        <v>0</v>
      </c>
      <c r="Z155" s="150">
        <f>IFERROR(VLOOKUP($M155,'1 b felosztások'!$A:$AE,'1 b felosztások'!O$2,0)*$I155,0)</f>
        <v>0</v>
      </c>
      <c r="AA155" s="150">
        <f>IFERROR(VLOOKUP($M155,'1 b felosztások'!$A:$AE,'1 b felosztások'!P$2,0)*$I155,0)</f>
        <v>0</v>
      </c>
      <c r="AB155" s="150">
        <f>IFERROR(VLOOKUP($M155,'1 b felosztások'!$A:$AE,'1 b felosztások'!Q$2,0)*$I155,0)</f>
        <v>0</v>
      </c>
      <c r="AC155" s="150"/>
      <c r="AD155" s="150"/>
      <c r="AE155" s="150"/>
      <c r="AF155" s="150"/>
      <c r="AG155" s="150"/>
      <c r="AH155" s="150"/>
      <c r="AI155" s="150"/>
      <c r="AJ155" s="150"/>
      <c r="AK155" s="150"/>
      <c r="AL155" s="150"/>
      <c r="AM155" s="150"/>
      <c r="AN155" s="150"/>
      <c r="AO155" s="150"/>
      <c r="AP155" s="150"/>
      <c r="AQ155" s="150"/>
      <c r="AR155" s="150"/>
      <c r="AS155" s="150"/>
      <c r="AT155" s="150"/>
      <c r="AU155" s="150"/>
      <c r="AV155" s="150"/>
      <c r="AW155" s="150"/>
      <c r="AX155" s="150"/>
      <c r="AY155" s="150"/>
      <c r="AZ155" s="150"/>
      <c r="BA155" s="150"/>
      <c r="BB155" s="150"/>
      <c r="BC155" s="170"/>
      <c r="BD155" s="170"/>
      <c r="BE155" s="170"/>
      <c r="BF155" s="170"/>
      <c r="BG155" s="170">
        <f t="shared" si="128"/>
        <v>0</v>
      </c>
      <c r="BH155" s="170"/>
      <c r="BI155" s="170"/>
      <c r="BJ155" s="170"/>
      <c r="BK155" s="167">
        <f t="shared" si="114"/>
        <v>0</v>
      </c>
      <c r="BL155" s="167">
        <f t="shared" si="115"/>
        <v>0</v>
      </c>
      <c r="BM155" s="167">
        <f t="shared" si="116"/>
        <v>0</v>
      </c>
      <c r="BN155" s="167">
        <f t="shared" si="117"/>
        <v>0</v>
      </c>
    </row>
    <row r="156" spans="1:66" s="171" customFormat="1" hidden="1" outlineLevel="1" x14ac:dyDescent="0.3">
      <c r="A156" s="183" t="s">
        <v>3250</v>
      </c>
      <c r="B156" s="183" t="str">
        <f t="shared" si="124"/>
        <v>Alaptámogatás alulfinanszírozás miatti kiegészítése 2022 évi tényelszámolás arányainak figyelembe vételével</v>
      </c>
      <c r="C156" s="183" t="s">
        <v>63</v>
      </c>
      <c r="D156" s="183"/>
      <c r="E156" s="183" t="str">
        <f>VLOOKUP(A156,'Bevétel 2a SZH 2023'!B:C,2,0)</f>
        <v>Alaptámogatás alulfinanszírozás miatti kiegészítése 2022 évi tényelszámolás arányainak figyelembe vételével</v>
      </c>
      <c r="F156" s="183" t="s">
        <v>2696</v>
      </c>
      <c r="G156" s="183"/>
      <c r="H156" s="183" t="s">
        <v>2617</v>
      </c>
      <c r="I156" s="165">
        <f>IFERROR(VLOOKUP($A156,'Bevétel 2a SZH 2023'!$B:$L,MATCH($I$1,'Bevétel 2a SZH 2023'!$B$1:$L$1,0),0), )</f>
        <v>26063906</v>
      </c>
      <c r="J156" s="165">
        <f t="shared" si="122"/>
        <v>26063906.382554598</v>
      </c>
      <c r="K156" s="150">
        <f t="shared" si="125"/>
        <v>-0.38255459815263748</v>
      </c>
      <c r="L156" s="150">
        <f t="shared" si="123"/>
        <v>26063906.382554598</v>
      </c>
      <c r="M156" s="173"/>
      <c r="N156" s="150">
        <f>SUM(N159:N162)</f>
        <v>6806734.5230725715</v>
      </c>
      <c r="O156" s="150">
        <f>SUM(O159:O162)</f>
        <v>1093788.8752248101</v>
      </c>
      <c r="P156" s="150">
        <f t="shared" ref="P156:Y156" si="129">SUM(P159:P162)</f>
        <v>187267.56293636415</v>
      </c>
      <c r="Q156" s="150">
        <f t="shared" si="129"/>
        <v>1640198.2182106208</v>
      </c>
      <c r="R156" s="150">
        <f t="shared" si="129"/>
        <v>454673.11719405977</v>
      </c>
      <c r="S156" s="150">
        <f t="shared" si="129"/>
        <v>2303061.566508323</v>
      </c>
      <c r="T156" s="150">
        <f t="shared" si="129"/>
        <v>1248669.5691086093</v>
      </c>
      <c r="U156" s="150">
        <f t="shared" si="129"/>
        <v>2240108.8434442244</v>
      </c>
      <c r="V156" s="150">
        <f t="shared" si="129"/>
        <v>2676159.7211863874</v>
      </c>
      <c r="W156" s="150">
        <f t="shared" si="129"/>
        <v>1670243.350946123</v>
      </c>
      <c r="X156" s="150">
        <f t="shared" si="129"/>
        <v>182558.41078207691</v>
      </c>
      <c r="Y156" s="150">
        <f t="shared" si="129"/>
        <v>4759135.1386212232</v>
      </c>
      <c r="Z156" s="150">
        <f t="shared" ref="Z156" si="130">SUM(Z159:Z162)</f>
        <v>797186.77423266263</v>
      </c>
      <c r="AA156" s="150">
        <f t="shared" ref="AA156" si="131">SUM(AA159:AA162)</f>
        <v>0</v>
      </c>
      <c r="AB156" s="150">
        <f>SUM(AB159:AB162)</f>
        <v>0</v>
      </c>
      <c r="AC156" s="150">
        <f>SUM(AC159:AC162)</f>
        <v>4120.7110865431432</v>
      </c>
      <c r="AD156" s="150"/>
      <c r="AE156" s="150"/>
      <c r="AF156" s="150"/>
      <c r="AG156" s="150"/>
      <c r="AH156" s="150"/>
      <c r="AI156" s="150"/>
      <c r="AJ156" s="150"/>
      <c r="AK156" s="150"/>
      <c r="AL156" s="150"/>
      <c r="AM156" s="150"/>
      <c r="AN156" s="150"/>
      <c r="AO156" s="150"/>
      <c r="AP156" s="150"/>
      <c r="AQ156" s="150"/>
      <c r="AR156" s="150"/>
      <c r="AS156" s="150"/>
      <c r="AT156" s="150"/>
      <c r="AU156" s="150"/>
      <c r="AV156" s="150"/>
      <c r="AW156" s="150"/>
      <c r="AX156" s="150"/>
      <c r="AY156" s="150"/>
      <c r="AZ156" s="150"/>
      <c r="BA156" s="150"/>
      <c r="BB156" s="150"/>
      <c r="BC156" s="170"/>
      <c r="BD156" s="170"/>
      <c r="BE156" s="170"/>
      <c r="BF156" s="170"/>
      <c r="BG156" s="170"/>
      <c r="BH156" s="170"/>
      <c r="BI156" s="170"/>
      <c r="BJ156" s="170"/>
      <c r="BK156" s="167">
        <f t="shared" si="114"/>
        <v>26059785.671468057</v>
      </c>
      <c r="BL156" s="167">
        <f t="shared" si="115"/>
        <v>0</v>
      </c>
      <c r="BM156" s="167">
        <f t="shared" si="116"/>
        <v>4120.7110865431432</v>
      </c>
      <c r="BN156" s="167">
        <f t="shared" si="117"/>
        <v>0</v>
      </c>
    </row>
    <row r="157" spans="1:66" s="171" customFormat="1" hidden="1" outlineLevel="1" x14ac:dyDescent="0.3">
      <c r="A157" s="183"/>
      <c r="B157" s="183" t="s">
        <v>2861</v>
      </c>
      <c r="C157" s="183" t="s">
        <v>63</v>
      </c>
      <c r="D157" s="183" t="s">
        <v>3585</v>
      </c>
      <c r="E157" s="183" t="s">
        <v>714</v>
      </c>
      <c r="F157" s="183" t="s">
        <v>2697</v>
      </c>
      <c r="G157" s="183">
        <v>320</v>
      </c>
      <c r="H157" s="186" t="s">
        <v>655</v>
      </c>
      <c r="I157" s="165">
        <f>VLOOKUP($I$1,'3.a'!B:V,3,0)*'3.a'!$I$2</f>
        <v>38654944.191364057</v>
      </c>
      <c r="J157" s="165">
        <f t="shared" si="122"/>
        <v>38654944.191364057</v>
      </c>
      <c r="K157" s="150">
        <f>+I157-J157</f>
        <v>0</v>
      </c>
      <c r="L157" s="150">
        <f t="shared" si="123"/>
        <v>38654944.191364057</v>
      </c>
      <c r="M157" s="173"/>
      <c r="N157" s="150"/>
      <c r="O157" s="150"/>
      <c r="P157" s="150"/>
      <c r="Q157" s="150"/>
      <c r="R157" s="150"/>
      <c r="S157" s="150"/>
      <c r="T157" s="150"/>
      <c r="U157" s="150"/>
      <c r="V157" s="150"/>
      <c r="W157" s="150"/>
      <c r="X157" s="150"/>
      <c r="Y157" s="150"/>
      <c r="Z157" s="150"/>
      <c r="AA157" s="150"/>
      <c r="AB157" s="150">
        <f>IFERROR(VLOOKUP($M157,'1 b felosztások'!$A:$AE,'1 b felosztások'!Q$2,0)*$I157,0)</f>
        <v>0</v>
      </c>
      <c r="AC157" s="150"/>
      <c r="AD157" s="150"/>
      <c r="AE157" s="150"/>
      <c r="AF157" s="150"/>
      <c r="AG157" s="150"/>
      <c r="AH157" s="150"/>
      <c r="AI157" s="150"/>
      <c r="AJ157" s="150"/>
      <c r="AK157" s="150"/>
      <c r="AL157" s="150">
        <f>+I157</f>
        <v>38654944.191364057</v>
      </c>
      <c r="AM157" s="150"/>
      <c r="AN157" s="150"/>
      <c r="AO157" s="150"/>
      <c r="AP157" s="150"/>
      <c r="AQ157" s="150"/>
      <c r="AR157" s="150"/>
      <c r="AS157" s="150"/>
      <c r="AT157" s="150"/>
      <c r="AU157" s="150"/>
      <c r="AV157" s="150"/>
      <c r="AW157" s="150"/>
      <c r="AX157" s="150"/>
      <c r="AY157" s="150"/>
      <c r="AZ157" s="150"/>
      <c r="BA157" s="150"/>
      <c r="BB157" s="150"/>
      <c r="BC157" s="170"/>
      <c r="BD157" s="170"/>
      <c r="BE157" s="170"/>
      <c r="BF157" s="170"/>
      <c r="BG157" s="170"/>
      <c r="BH157" s="170"/>
      <c r="BI157" s="170"/>
      <c r="BJ157" s="170"/>
      <c r="BK157" s="167">
        <f t="shared" si="114"/>
        <v>0</v>
      </c>
      <c r="BL157" s="167">
        <f t="shared" si="115"/>
        <v>0</v>
      </c>
      <c r="BM157" s="167">
        <f t="shared" si="116"/>
        <v>38654944.191364057</v>
      </c>
      <c r="BN157" s="167">
        <f t="shared" si="117"/>
        <v>0</v>
      </c>
    </row>
    <row r="158" spans="1:66" s="171" customFormat="1" hidden="1" outlineLevel="1" x14ac:dyDescent="0.3">
      <c r="A158" s="183"/>
      <c r="B158" s="183" t="s">
        <v>762</v>
      </c>
      <c r="C158" s="183" t="s">
        <v>63</v>
      </c>
      <c r="D158" s="183" t="s">
        <v>3585</v>
      </c>
      <c r="E158" s="183" t="s">
        <v>762</v>
      </c>
      <c r="F158" s="183" t="s">
        <v>2697</v>
      </c>
      <c r="G158" s="183">
        <v>343</v>
      </c>
      <c r="H158" s="186" t="s">
        <v>696</v>
      </c>
      <c r="I158" s="165">
        <f>-VLOOKUP($I$1,'3.a'!B:V,4,0)*'3.a'!$I$2</f>
        <v>-13384460.051352993</v>
      </c>
      <c r="J158" s="165">
        <f t="shared" si="122"/>
        <v>-13384460.051352993</v>
      </c>
      <c r="K158" s="150">
        <f t="shared" ref="K158" si="132">+I158-J158</f>
        <v>0</v>
      </c>
      <c r="L158" s="150">
        <f t="shared" si="123"/>
        <v>0</v>
      </c>
      <c r="M158" s="173"/>
      <c r="N158" s="150"/>
      <c r="O158" s="150"/>
      <c r="P158" s="150"/>
      <c r="Q158" s="150"/>
      <c r="R158" s="150"/>
      <c r="S158" s="150"/>
      <c r="T158" s="150"/>
      <c r="U158" s="150"/>
      <c r="V158" s="150"/>
      <c r="W158" s="150"/>
      <c r="X158" s="150"/>
      <c r="Y158" s="150"/>
      <c r="Z158" s="150"/>
      <c r="AA158" s="150"/>
      <c r="AB158" s="150"/>
      <c r="AC158" s="150"/>
      <c r="AD158" s="150"/>
      <c r="AE158" s="150"/>
      <c r="AF158" s="150"/>
      <c r="AG158" s="150"/>
      <c r="AH158" s="150"/>
      <c r="AI158" s="150"/>
      <c r="AJ158" s="150"/>
      <c r="AK158" s="150"/>
      <c r="AL158" s="150">
        <f>I158</f>
        <v>-13384460.051352993</v>
      </c>
      <c r="AM158" s="150"/>
      <c r="AN158" s="150"/>
      <c r="AO158" s="150"/>
      <c r="AP158" s="150"/>
      <c r="AQ158" s="150"/>
      <c r="AR158" s="150"/>
      <c r="AS158" s="150"/>
      <c r="AT158" s="150"/>
      <c r="AU158" s="150"/>
      <c r="AV158" s="150"/>
      <c r="AW158" s="150"/>
      <c r="AX158" s="150"/>
      <c r="AY158" s="150"/>
      <c r="AZ158" s="150"/>
      <c r="BA158" s="150"/>
      <c r="BB158" s="150"/>
      <c r="BC158" s="170"/>
      <c r="BD158" s="170">
        <f>-I158</f>
        <v>13384460.051352993</v>
      </c>
      <c r="BE158" s="170"/>
      <c r="BF158" s="170"/>
      <c r="BG158" s="170"/>
      <c r="BH158" s="170"/>
      <c r="BI158" s="170"/>
      <c r="BJ158" s="170"/>
      <c r="BK158" s="167">
        <f t="shared" si="114"/>
        <v>0</v>
      </c>
      <c r="BL158" s="167">
        <f t="shared" si="115"/>
        <v>0</v>
      </c>
      <c r="BM158" s="167">
        <f t="shared" si="116"/>
        <v>-13384460.051352993</v>
      </c>
      <c r="BN158" s="167">
        <f t="shared" si="117"/>
        <v>13384460.051352993</v>
      </c>
    </row>
    <row r="159" spans="1:66" s="171" customFormat="1" hidden="1" outlineLevel="1" x14ac:dyDescent="0.3">
      <c r="A159" s="183"/>
      <c r="B159" s="183" t="s">
        <v>2855</v>
      </c>
      <c r="C159" s="183" t="s">
        <v>63</v>
      </c>
      <c r="D159" s="183"/>
      <c r="E159" s="183" t="s">
        <v>2573</v>
      </c>
      <c r="F159" s="183" t="s">
        <v>63</v>
      </c>
      <c r="G159" s="183">
        <v>333</v>
      </c>
      <c r="H159" s="186" t="s">
        <v>680</v>
      </c>
      <c r="I159" s="165">
        <f>+I157+I158</f>
        <v>25270484.140011065</v>
      </c>
      <c r="J159" s="165">
        <f t="shared" si="122"/>
        <v>-6.3329935073852539E-8</v>
      </c>
      <c r="K159" s="150">
        <f>+I159-J159</f>
        <v>25270484.140011128</v>
      </c>
      <c r="L159" s="150">
        <f t="shared" si="123"/>
        <v>-6.3329935073852539E-8</v>
      </c>
      <c r="M159" s="173" t="s">
        <v>1340</v>
      </c>
      <c r="N159" s="150">
        <f>IFERROR(VLOOKUP(N$1,'22.b2'!$D:$H,3,0),0)*'3.a'!$I$2</f>
        <v>5475597.0349634588</v>
      </c>
      <c r="O159" s="150">
        <f>IFERROR(VLOOKUP(O$1,'22.b2'!$D:$H,3,0),0)*'3.a'!$I$2</f>
        <v>774642.14816972183</v>
      </c>
      <c r="P159" s="150">
        <f>IFERROR(VLOOKUP(P$1,'22.b2'!$D:$H,3,0),0)*'3.a'!$I$2</f>
        <v>126940.82194890818</v>
      </c>
      <c r="Q159" s="150">
        <f>IFERROR(VLOOKUP(Q$1,'22.b2'!$D:$H,3,0),0)*'3.a'!$I$2</f>
        <v>1076529.3556992111</v>
      </c>
      <c r="R159" s="150">
        <f>IFERROR(VLOOKUP(R$1,'22.b2'!$D:$H,3,0),0)*'3.a'!$I$2</f>
        <v>200838.48756184132</v>
      </c>
      <c r="S159" s="150">
        <f>IFERROR(VLOOKUP(S$1,'22.b2'!$D:$H,3,0),0)*'3.a'!$I$2</f>
        <v>1880279.7378259008</v>
      </c>
      <c r="T159" s="150">
        <f>IFERROR(VLOOKUP(T$1,'22.b2'!$D:$H,3,0),0)*'3.a'!$I$2</f>
        <v>842370.58477235993</v>
      </c>
      <c r="U159" s="150">
        <f>IFERROR(VLOOKUP(U$1,'22.b2'!$D:$H,3,0),0)*'3.a'!$I$2</f>
        <v>1280688.1396999729</v>
      </c>
      <c r="V159" s="150">
        <f>IFERROR(VLOOKUP(V$1,'22.b2'!$D:$H,3,0),0)*'3.a'!$I$2</f>
        <v>2328909.9791808426</v>
      </c>
      <c r="W159" s="150">
        <f>IFERROR(VLOOKUP(W$1,'22.b2'!$D:$H,3,0),0)*'3.a'!$I$2</f>
        <v>1343349.8434881791</v>
      </c>
      <c r="X159" s="150">
        <f>IFERROR(VLOOKUP(X$1,'22.b2'!$D:$H,3,0),0)*'3.a'!$I$2</f>
        <v>126887.91688256947</v>
      </c>
      <c r="Y159" s="150">
        <f>IFERROR(VLOOKUP(Y$1,'22.b2'!$D:$H,3,0),0)*'3.a'!$I$2</f>
        <v>3355384.5724486788</v>
      </c>
      <c r="Z159" s="150">
        <f>IFERROR(VLOOKUP(Z$1,'22.b2'!$D:$H,3,0),0)*'3.a'!$I$2</f>
        <v>566153.81426115718</v>
      </c>
      <c r="AA159" s="150">
        <f>IFERROR(VLOOKUP(AA$1,'22.b2'!$D:$H,3,0),0)*'3.a'!$I$2</f>
        <v>0</v>
      </c>
      <c r="AB159" s="150">
        <f>IFERROR(VLOOKUP(AB$1,'22.b2'!$D:$H,3,0),0)*'3.a'!$I$2</f>
        <v>0</v>
      </c>
      <c r="AC159" s="150">
        <f>VLOOKUP($I$1,'22.b2'!$C:$H,4,0)*'3.a'!$I$2</f>
        <v>5891911.7031081989</v>
      </c>
      <c r="AD159" s="150"/>
      <c r="AE159" s="150"/>
      <c r="AF159" s="150"/>
      <c r="AG159" s="150"/>
      <c r="AH159" s="150"/>
      <c r="AI159" s="150"/>
      <c r="AJ159" s="150"/>
      <c r="AK159" s="150"/>
      <c r="AL159" s="150">
        <f>-I159</f>
        <v>-25270484.140011065</v>
      </c>
      <c r="AM159" s="150"/>
      <c r="AN159" s="150"/>
      <c r="AO159" s="150"/>
      <c r="AP159" s="150"/>
      <c r="AQ159" s="150"/>
      <c r="AR159" s="150"/>
      <c r="AS159" s="150"/>
      <c r="AT159" s="150"/>
      <c r="AU159" s="150"/>
      <c r="AV159" s="150"/>
      <c r="AW159" s="150"/>
      <c r="AX159" s="150"/>
      <c r="AY159" s="150"/>
      <c r="AZ159" s="150"/>
      <c r="BA159" s="150"/>
      <c r="BB159" s="150"/>
      <c r="BC159" s="170"/>
      <c r="BD159" s="170"/>
      <c r="BE159" s="170"/>
      <c r="BF159" s="170"/>
      <c r="BG159" s="170"/>
      <c r="BH159" s="170"/>
      <c r="BI159" s="170"/>
      <c r="BJ159" s="170"/>
      <c r="BK159" s="167">
        <f t="shared" si="114"/>
        <v>19378572.436902802</v>
      </c>
      <c r="BL159" s="167">
        <f>+AC159</f>
        <v>5891911.7031081989</v>
      </c>
      <c r="BM159" s="167">
        <f>+SUM(AC159:AO159)</f>
        <v>-19378572.436902866</v>
      </c>
      <c r="BN159" s="167">
        <f t="shared" si="117"/>
        <v>0</v>
      </c>
    </row>
    <row r="160" spans="1:66" s="171" customFormat="1" hidden="1" outlineLevel="1" x14ac:dyDescent="0.3">
      <c r="A160" s="183"/>
      <c r="B160" s="183" t="s">
        <v>2855</v>
      </c>
      <c r="C160" s="183" t="s">
        <v>63</v>
      </c>
      <c r="D160" s="183"/>
      <c r="E160" s="183" t="s">
        <v>1342</v>
      </c>
      <c r="F160" s="183" t="s">
        <v>63</v>
      </c>
      <c r="G160" s="183">
        <v>333</v>
      </c>
      <c r="H160" s="186" t="s">
        <v>680</v>
      </c>
      <c r="I160" s="165">
        <v>0</v>
      </c>
      <c r="J160" s="165">
        <f t="shared" si="122"/>
        <v>0</v>
      </c>
      <c r="K160" s="150">
        <f t="shared" ref="K160:K162" si="133">+I160-J160</f>
        <v>0</v>
      </c>
      <c r="L160" s="150">
        <f t="shared" si="123"/>
        <v>0</v>
      </c>
      <c r="M160" s="542">
        <v>3</v>
      </c>
      <c r="N160" s="150">
        <f>IFERROR(VLOOKUP($M160,'1 b felosztások'!$A:$AE,'1 b felosztások'!C$2,0)*-$AC160,0)</f>
        <v>1317133.8448927884</v>
      </c>
      <c r="O160" s="150">
        <f>IFERROR(VLOOKUP($M160,'1 b felosztások'!$A:$AE,'1 b felosztások'!D$2,0)*-$AC160,0)</f>
        <v>301633.70493727981</v>
      </c>
      <c r="P160" s="150">
        <f>IFERROR(VLOOKUP($M160,'1 b felosztások'!$A:$AE,'1 b felosztások'!E$2,0)*-$AC160,0)</f>
        <v>60326.74098745596</v>
      </c>
      <c r="Q160" s="150">
        <f>IFERROR(VLOOKUP($M160,'1 b felosztások'!$A:$AE,'1 b felosztások'!F$2,0)*-$AC160,0)</f>
        <v>412232.73008094908</v>
      </c>
      <c r="R160" s="150">
        <f>IFERROR(VLOOKUP($M160,'1 b felosztások'!$A:$AE,'1 b felosztások'!G$2,0)*-$AC160,0)</f>
        <v>150816.8524686399</v>
      </c>
      <c r="S160" s="150">
        <f>IFERROR(VLOOKUP($M160,'1 b felosztások'!$A:$AE,'1 b felosztások'!H$2,0)*-$AC160,0)</f>
        <v>402178.27324970643</v>
      </c>
      <c r="T160" s="150">
        <f>IFERROR(VLOOKUP($M160,'1 b felosztások'!$A:$AE,'1 b felosztások'!I$2,0)*-$AC160,0)</f>
        <v>402178.27324970643</v>
      </c>
      <c r="U160" s="150">
        <f>IFERROR(VLOOKUP($M160,'1 b felosztások'!$A:$AE,'1 b felosztások'!J$2,0)*-$AC160,0)</f>
        <v>573104.03938083164</v>
      </c>
      <c r="V160" s="150">
        <f>IFERROR(VLOOKUP($M160,'1 b felosztások'!$A:$AE,'1 b felosztások'!K$2,0)*-$AC160,0)</f>
        <v>331797.07543100778</v>
      </c>
      <c r="W160" s="150">
        <f>IFERROR(VLOOKUP($M160,'1 b felosztások'!$A:$AE,'1 b felosztások'!L$2,0)*-$AC160,0)</f>
        <v>321742.61859976512</v>
      </c>
      <c r="X160" s="150">
        <f>IFERROR(VLOOKUP($M160,'1 b felosztások'!$A:$AE,'1 b felosztások'!M$2,0)*-$AC160,0)</f>
        <v>40217.82732497064</v>
      </c>
      <c r="Y160" s="150">
        <f>IFERROR(VLOOKUP($M160,'1 b felosztások'!$A:$AE,'1 b felosztások'!N$2,0)*-$AC160,0)</f>
        <v>1397569.4995427297</v>
      </c>
      <c r="Z160" s="150">
        <f>IFERROR(VLOOKUP($M160,'1 b felosztások'!$A:$AE,'1 b felosztások'!O$2,0)*-$AC160,0)</f>
        <v>180980.22296236787</v>
      </c>
      <c r="AA160" s="150">
        <f>IFERROR(VLOOKUP($M160,'1 b felosztások'!$A:$AE,'1 b felosztások'!P$2,0)*-$AC160,0)</f>
        <v>0</v>
      </c>
      <c r="AB160" s="150">
        <f>IFERROR(VLOOKUP($M160,'1 b felosztások'!$A:$AE,'1 b felosztások'!Q$2,0)*-$AC160,0)</f>
        <v>0</v>
      </c>
      <c r="AC160" s="150">
        <f>-AC159</f>
        <v>-5891911.7031081989</v>
      </c>
      <c r="AD160" s="150"/>
      <c r="AE160" s="150"/>
      <c r="AF160" s="150"/>
      <c r="AG160" s="150"/>
      <c r="AH160" s="150"/>
      <c r="AI160" s="150"/>
      <c r="AJ160" s="150"/>
      <c r="AK160" s="150"/>
      <c r="AL160" s="150"/>
      <c r="AM160" s="150"/>
      <c r="AN160" s="150"/>
      <c r="AO160" s="150"/>
      <c r="AP160" s="150"/>
      <c r="AQ160" s="150"/>
      <c r="AR160" s="150"/>
      <c r="AS160" s="150"/>
      <c r="AT160" s="150"/>
      <c r="AU160" s="150"/>
      <c r="AV160" s="150"/>
      <c r="AW160" s="150"/>
      <c r="AX160" s="150"/>
      <c r="AY160" s="150"/>
      <c r="AZ160" s="150"/>
      <c r="BA160" s="150"/>
      <c r="BB160" s="150"/>
      <c r="BC160" s="170"/>
      <c r="BD160" s="170"/>
      <c r="BE160" s="170"/>
      <c r="BF160" s="170"/>
      <c r="BG160" s="170"/>
      <c r="BH160" s="170"/>
      <c r="BI160" s="170"/>
      <c r="BJ160" s="170"/>
      <c r="BK160" s="167">
        <f t="shared" si="114"/>
        <v>5891911.7031081999</v>
      </c>
      <c r="BL160" s="167">
        <f>+AC160</f>
        <v>-5891911.7031081989</v>
      </c>
      <c r="BM160" s="167">
        <f>+SUM(AC160:AO160)</f>
        <v>-5891911.7031081989</v>
      </c>
      <c r="BN160" s="167">
        <f t="shared" si="117"/>
        <v>0</v>
      </c>
    </row>
    <row r="161" spans="1:66" s="171" customFormat="1" hidden="1" outlineLevel="1" x14ac:dyDescent="0.3">
      <c r="A161" s="183"/>
      <c r="B161" s="183" t="s">
        <v>2571</v>
      </c>
      <c r="C161" s="183" t="s">
        <v>63</v>
      </c>
      <c r="D161" s="183" t="s">
        <v>3583</v>
      </c>
      <c r="E161" s="183" t="s">
        <v>2571</v>
      </c>
      <c r="F161" s="183" t="s">
        <v>63</v>
      </c>
      <c r="G161" s="183">
        <v>349</v>
      </c>
      <c r="H161" s="186" t="s">
        <v>706</v>
      </c>
      <c r="I161" s="165">
        <f>VLOOKUP($I$1,'3.a'!B:V,5,0)*'3.a'!$I$2</f>
        <v>793422.24254359747</v>
      </c>
      <c r="J161" s="165">
        <f t="shared" si="122"/>
        <v>793422.24254359771</v>
      </c>
      <c r="K161" s="150">
        <f t="shared" si="133"/>
        <v>0</v>
      </c>
      <c r="L161" s="150">
        <f t="shared" si="123"/>
        <v>0</v>
      </c>
      <c r="M161" s="173" t="s">
        <v>1341</v>
      </c>
      <c r="N161" s="150">
        <f>IFERROR(VLOOKUP(N$1,'22.b3'!$D:$H,3,0),0)*'3.a'!$I$2</f>
        <v>14003.643216323833</v>
      </c>
      <c r="O161" s="150">
        <f>IFERROR(VLOOKUP(O$1,'22.b3'!$D:$H,3,0),0)*'3.a'!$I$2</f>
        <v>17513.022117808356</v>
      </c>
      <c r="P161" s="150">
        <f>IFERROR(VLOOKUP(P$1,'22.b3'!$D:$H,3,0),0)*'3.a'!$I$2</f>
        <v>0</v>
      </c>
      <c r="Q161" s="150">
        <f>IFERROR(VLOOKUP(Q$1,'22.b3'!$D:$H,3,0),0)*'3.a'!$I$2</f>
        <v>151436.13243046051</v>
      </c>
      <c r="R161" s="150">
        <f>IFERROR(VLOOKUP(R$1,'22.b3'!$D:$H,3,0),0)*'3.a'!$I$2</f>
        <v>103017.77716357856</v>
      </c>
      <c r="S161" s="150">
        <f>IFERROR(VLOOKUP(S$1,'22.b3'!$D:$H,3,0),0)*'3.a'!$I$2</f>
        <v>20603.555432715715</v>
      </c>
      <c r="T161" s="150">
        <f>IFERROR(VLOOKUP(T$1,'22.b3'!$D:$H,3,0),0)*'3.a'!$I$2</f>
        <v>4120.7110865431432</v>
      </c>
      <c r="U161" s="150">
        <f>IFERROR(VLOOKUP(U$1,'22.b3'!$D:$H,3,0),0)*'3.a'!$I$2</f>
        <v>386316.66436341964</v>
      </c>
      <c r="V161" s="150">
        <f>IFERROR(VLOOKUP(V$1,'22.b3'!$D:$H,3,0),0)*'3.a'!$I$2</f>
        <v>15452.666574536786</v>
      </c>
      <c r="W161" s="150">
        <f>IFERROR(VLOOKUP(W$1,'22.b3'!$D:$H,3,0),0)*'3.a'!$I$2</f>
        <v>5150.8888581789279</v>
      </c>
      <c r="X161" s="150">
        <f>IFERROR(VLOOKUP(X$1,'22.b3'!$D:$H,3,0),0)*'3.a'!$I$2</f>
        <v>15452.666574536786</v>
      </c>
      <c r="Y161" s="150">
        <f>IFERROR(VLOOKUP(Y$1,'22.b3'!$D:$H,3,0),0)*'3.a'!$I$2</f>
        <v>6181.0666298147144</v>
      </c>
      <c r="Z161" s="150">
        <f>IFERROR(VLOOKUP(Z$1,'22.b3'!$D:$H,3,0),0)*'3.a'!$I$2</f>
        <v>50052.737009137505</v>
      </c>
      <c r="AA161" s="150">
        <f>IFERROR(VLOOKUP(AA$1,'22.b3'!$D:$H,3,0),0)*'3.a'!$I$2</f>
        <v>0</v>
      </c>
      <c r="AB161" s="150">
        <f>IFERROR(VLOOKUP(AB$1,'22.b3'!$D:$H,3,0),0)*'3.a'!$I$2</f>
        <v>0</v>
      </c>
      <c r="AC161" s="150">
        <f>IFERROR(VLOOKUP($I$1,'22.b3'!$C:$H,4,0),0)*'3.a'!$I$2</f>
        <v>4120.7110865431432</v>
      </c>
      <c r="AD161" s="150"/>
      <c r="AE161" s="150"/>
      <c r="AF161" s="150"/>
      <c r="AG161" s="150"/>
      <c r="AH161" s="150"/>
      <c r="AI161" s="150"/>
      <c r="AJ161" s="150"/>
      <c r="AK161" s="150"/>
      <c r="AL161" s="150"/>
      <c r="AM161" s="150"/>
      <c r="AN161" s="150"/>
      <c r="AO161" s="150"/>
      <c r="AP161" s="150"/>
      <c r="AQ161" s="150"/>
      <c r="AR161" s="150"/>
      <c r="AS161" s="150"/>
      <c r="AT161" s="150"/>
      <c r="AU161" s="150"/>
      <c r="AV161" s="150"/>
      <c r="AW161" s="150"/>
      <c r="AX161" s="150"/>
      <c r="AY161" s="150"/>
      <c r="AZ161" s="150"/>
      <c r="BA161" s="150"/>
      <c r="BB161" s="150"/>
      <c r="BC161" s="170"/>
      <c r="BD161" s="170">
        <f>-I161</f>
        <v>-793422.24254359747</v>
      </c>
      <c r="BE161" s="170"/>
      <c r="BF161" s="170"/>
      <c r="BG161" s="170"/>
      <c r="BH161" s="170"/>
      <c r="BI161" s="170"/>
      <c r="BJ161" s="170"/>
      <c r="BK161" s="167">
        <f t="shared" si="114"/>
        <v>789301.53145705455</v>
      </c>
      <c r="BL161" s="167">
        <f>+AC161</f>
        <v>4120.7110865431432</v>
      </c>
      <c r="BM161" s="167">
        <f>+SUM(AC161:AO161)</f>
        <v>4120.7110865431432</v>
      </c>
      <c r="BN161" s="167">
        <f t="shared" si="117"/>
        <v>-793422.24254359747</v>
      </c>
    </row>
    <row r="162" spans="1:66" s="171" customFormat="1" hidden="1" outlineLevel="1" x14ac:dyDescent="0.3">
      <c r="A162" s="183"/>
      <c r="B162" s="183" t="s">
        <v>2571</v>
      </c>
      <c r="C162" s="183" t="s">
        <v>63</v>
      </c>
      <c r="D162" s="183" t="s">
        <v>3583</v>
      </c>
      <c r="E162" s="183" t="s">
        <v>2572</v>
      </c>
      <c r="F162" s="183" t="s">
        <v>63</v>
      </c>
      <c r="G162" s="183">
        <v>349</v>
      </c>
      <c r="H162" s="186" t="s">
        <v>706</v>
      </c>
      <c r="I162" s="165">
        <v>0</v>
      </c>
      <c r="J162" s="165">
        <f t="shared" si="122"/>
        <v>0</v>
      </c>
      <c r="K162" s="150">
        <f t="shared" si="133"/>
        <v>0</v>
      </c>
      <c r="L162" s="150">
        <f t="shared" si="123"/>
        <v>0</v>
      </c>
      <c r="M162" s="542">
        <v>3</v>
      </c>
      <c r="N162" s="150">
        <f>IFERROR(VLOOKUP($M162,'1 b felosztások'!$A:$AE,'1 b felosztások'!C$2,0)*$I162,0)</f>
        <v>0</v>
      </c>
      <c r="O162" s="150">
        <f>IFERROR(VLOOKUP($M162,'1 b felosztások'!$A:$AE,'1 b felosztások'!D$2,0)*$I162,0)</f>
        <v>0</v>
      </c>
      <c r="P162" s="150">
        <f>IFERROR(VLOOKUP($M162,'1 b felosztások'!$A:$AE,'1 b felosztások'!E$2,0)*$I162,0)</f>
        <v>0</v>
      </c>
      <c r="Q162" s="150">
        <f>IFERROR(VLOOKUP($M162,'1 b felosztások'!$A:$AE,'1 b felosztások'!F$2,0)*$I162,0)</f>
        <v>0</v>
      </c>
      <c r="R162" s="150">
        <f>IFERROR(VLOOKUP($M162,'1 b felosztások'!$A:$AE,'1 b felosztások'!G$2,0)*$I162,0)</f>
        <v>0</v>
      </c>
      <c r="S162" s="150">
        <f>IFERROR(VLOOKUP($M162,'1 b felosztások'!$A:$AE,'1 b felosztások'!H$2,0)*$I162,0)</f>
        <v>0</v>
      </c>
      <c r="T162" s="150">
        <f>IFERROR(VLOOKUP($M162,'1 b felosztások'!$A:$AE,'1 b felosztások'!I$2,0)*$I162,0)</f>
        <v>0</v>
      </c>
      <c r="U162" s="150">
        <f>IFERROR(VLOOKUP($M162,'1 b felosztások'!$A:$AE,'1 b felosztások'!J$2,0)*$I162,0)</f>
        <v>0</v>
      </c>
      <c r="V162" s="150">
        <f>IFERROR(VLOOKUP($M162,'1 b felosztások'!$A:$AE,'1 b felosztások'!K$2,0)*$I162,0)</f>
        <v>0</v>
      </c>
      <c r="W162" s="150">
        <f>IFERROR(VLOOKUP($M162,'1 b felosztások'!$A:$AE,'1 b felosztások'!L$2,0)*$I162,0)</f>
        <v>0</v>
      </c>
      <c r="X162" s="150">
        <f>IFERROR(VLOOKUP($M162,'1 b felosztások'!$A:$AE,'1 b felosztások'!M$2,0)*$I162,0)</f>
        <v>0</v>
      </c>
      <c r="Y162" s="150">
        <f>IFERROR(VLOOKUP($M162,'1 b felosztások'!$A:$AE,'1 b felosztások'!N$2,0)*$I162,0)</f>
        <v>0</v>
      </c>
      <c r="Z162" s="150">
        <f>IFERROR(VLOOKUP($M162,'1 b felosztások'!$A:$AE,'1 b felosztások'!O$2,0)*$I162,0)</f>
        <v>0</v>
      </c>
      <c r="AA162" s="150">
        <f>IFERROR(VLOOKUP($M162,'1 b felosztások'!$A:$AE,'1 b felosztások'!P$2,0)*$I162,0)</f>
        <v>0</v>
      </c>
      <c r="AB162" s="150">
        <f>IFERROR(VLOOKUP($M162,'1 b felosztások'!$A:$AE,'1 b felosztások'!Q$2,0)*$I162,0)</f>
        <v>0</v>
      </c>
      <c r="AC162" s="150">
        <f>IFERROR(VLOOKUP($M162,'1 b felosztások'!$A:$AE,'1 b felosztások'!R$2,0)*$I162,0)</f>
        <v>0</v>
      </c>
      <c r="AD162" s="150">
        <f>IFERROR(VLOOKUP($M162,'1 b felosztások'!$A:$AE,'1 b felosztások'!S$2,0)*$I162,0)</f>
        <v>0</v>
      </c>
      <c r="AE162" s="150">
        <f>IFERROR(VLOOKUP($M162,'1 b felosztások'!$A:$AE,'1 b felosztások'!T$2,0)*$I162,0)</f>
        <v>0</v>
      </c>
      <c r="AF162" s="150"/>
      <c r="AG162" s="150"/>
      <c r="AH162" s="150"/>
      <c r="AI162" s="150"/>
      <c r="AJ162" s="150"/>
      <c r="AK162" s="150"/>
      <c r="AL162" s="150"/>
      <c r="AM162" s="150"/>
      <c r="AN162" s="150"/>
      <c r="AO162" s="150"/>
      <c r="AP162" s="150"/>
      <c r="AQ162" s="150"/>
      <c r="AR162" s="150"/>
      <c r="AS162" s="150"/>
      <c r="AT162" s="150"/>
      <c r="AU162" s="150"/>
      <c r="AV162" s="150"/>
      <c r="AW162" s="150"/>
      <c r="AX162" s="150"/>
      <c r="AY162" s="150"/>
      <c r="AZ162" s="150"/>
      <c r="BA162" s="150"/>
      <c r="BB162" s="150"/>
      <c r="BC162" s="170"/>
      <c r="BD162" s="170"/>
      <c r="BE162" s="170"/>
      <c r="BF162" s="170"/>
      <c r="BG162" s="170"/>
      <c r="BH162" s="170"/>
      <c r="BI162" s="170"/>
      <c r="BJ162" s="170"/>
      <c r="BK162" s="167">
        <f t="shared" si="114"/>
        <v>0</v>
      </c>
      <c r="BL162" s="167">
        <f t="shared" si="115"/>
        <v>0</v>
      </c>
      <c r="BM162" s="167">
        <f t="shared" si="116"/>
        <v>0</v>
      </c>
      <c r="BN162" s="167">
        <f t="shared" si="117"/>
        <v>0</v>
      </c>
    </row>
    <row r="163" spans="1:66" s="171" customFormat="1" hidden="1" outlineLevel="1" x14ac:dyDescent="0.3">
      <c r="A163" s="183" t="s">
        <v>3251</v>
      </c>
      <c r="B163" s="183" t="s">
        <v>3252</v>
      </c>
      <c r="C163" s="183" t="s">
        <v>63</v>
      </c>
      <c r="D163" s="183" t="s">
        <v>3584</v>
      </c>
      <c r="E163" s="183" t="str">
        <f>VLOOKUP(A163,'Bevétel 2a SZH 2023'!B:C,2,0)</f>
        <v>GTK felfutás hatás - 2023. tavaszán és őszén felvételre kerülő hallgatók becslésének 80%-a</v>
      </c>
      <c r="F163" s="183" t="s">
        <v>2696</v>
      </c>
      <c r="G163" s="183">
        <v>320</v>
      </c>
      <c r="H163" s="186" t="s">
        <v>655</v>
      </c>
      <c r="I163" s="165">
        <f>IFERROR(VLOOKUP($A163,'Bevétel 2a SZH 2023'!$B:$L,MATCH($I$1,'Bevétel 2a SZH 2023'!$B$1:$L$1,0),0), )</f>
        <v>0</v>
      </c>
      <c r="J163" s="165">
        <f t="shared" si="122"/>
        <v>0</v>
      </c>
      <c r="K163" s="150">
        <f t="shared" si="125"/>
        <v>0</v>
      </c>
      <c r="L163" s="150">
        <f t="shared" si="123"/>
        <v>0</v>
      </c>
      <c r="M163" s="175"/>
      <c r="N163" s="150">
        <f>IFERROR(VLOOKUP($M163,'1 b felosztások'!$A:$E,'1 b felosztások'!C$2,0)*$I163,0)</f>
        <v>0</v>
      </c>
      <c r="O163" s="150">
        <f>IFERROR(VLOOKUP($M163,'1 b felosztások'!$A:$E,'1 b felosztások'!D$2,0)*$I163,0)</f>
        <v>0</v>
      </c>
      <c r="P163" s="150">
        <f>IFERROR(VLOOKUP($M163,'1 b felosztások'!$A:$E,'1 b felosztások'!E$2,0)*$I163,0)</f>
        <v>0</v>
      </c>
      <c r="Q163" s="150">
        <f>IFERROR(VLOOKUP($M163,'1 b felosztások'!$A:$E,'1 b felosztások'!F$2,0)*$I163,0)</f>
        <v>0</v>
      </c>
      <c r="R163" s="150">
        <f>IFERROR(VLOOKUP($M163,'1 b felosztások'!$A:$E,'1 b felosztások'!G$2,0)*$I163,0)</f>
        <v>0</v>
      </c>
      <c r="S163" s="150">
        <f>IFERROR(VLOOKUP($M163,'1 b felosztások'!$A:$E,'1 b felosztások'!H$2,0)*$I163,0)</f>
        <v>0</v>
      </c>
      <c r="T163" s="150">
        <f>IFERROR(VLOOKUP($M163,'1 b felosztások'!$A:$E,'1 b felosztások'!I$2,0)*$I163,0)</f>
        <v>0</v>
      </c>
      <c r="U163" s="150">
        <f>IFERROR(VLOOKUP($M163,'1 b felosztások'!$A:$E,'1 b felosztások'!J$2,0)*$I163,0)</f>
        <v>0</v>
      </c>
      <c r="V163" s="150">
        <f>IFERROR(VLOOKUP($M163,'1 b felosztások'!$A:$E,'1 b felosztások'!K$2,0)*$I163,0)</f>
        <v>0</v>
      </c>
      <c r="W163" s="150">
        <f>IFERROR(VLOOKUP($M163,'1 b felosztások'!$A:$E,'1 b felosztások'!L$2,0)*$I163,0)</f>
        <v>0</v>
      </c>
      <c r="X163" s="150">
        <f>IFERROR(VLOOKUP($M163,'1 b felosztások'!$A:$E,'1 b felosztások'!M$2,0)*$I163,0)</f>
        <v>0</v>
      </c>
      <c r="Y163" s="150">
        <f>IFERROR(VLOOKUP($M163,'1 b felosztások'!$A:$E,'1 b felosztások'!N$2,0)*$I163,0)</f>
        <v>0</v>
      </c>
      <c r="Z163" s="150">
        <f>IFERROR(VLOOKUP($M163,'1 b felosztások'!$A:$E,'1 b felosztások'!C$2,0)*$I163,0)</f>
        <v>0</v>
      </c>
      <c r="AA163" s="150">
        <f>IFERROR(VLOOKUP($M163,'1 b felosztások'!$A:$E,'1 b felosztások'!D$2,0)*$I163,0)</f>
        <v>0</v>
      </c>
      <c r="AB163" s="150">
        <f>IFERROR(VLOOKUP($M163,'1 b felosztások'!$A:$E,'1 b felosztások'!#REF!,0)*$I163,0)</f>
        <v>0</v>
      </c>
      <c r="AC163" s="150"/>
      <c r="AD163" s="150"/>
      <c r="AE163" s="150"/>
      <c r="AF163" s="150"/>
      <c r="AG163" s="150"/>
      <c r="AH163" s="150"/>
      <c r="AI163" s="150"/>
      <c r="AJ163" s="150"/>
      <c r="AK163" s="150"/>
      <c r="AL163" s="150"/>
      <c r="AM163" s="150"/>
      <c r="AN163" s="150"/>
      <c r="AO163" s="150"/>
      <c r="AP163" s="150"/>
      <c r="AQ163" s="150"/>
      <c r="AR163" s="150"/>
      <c r="AS163" s="150"/>
      <c r="AT163" s="150"/>
      <c r="AU163" s="150"/>
      <c r="AV163" s="150"/>
      <c r="AW163" s="150"/>
      <c r="AX163" s="150"/>
      <c r="AY163" s="150"/>
      <c r="AZ163" s="150"/>
      <c r="BA163" s="150"/>
      <c r="BB163" s="150"/>
      <c r="BC163" s="170"/>
      <c r="BD163" s="170"/>
      <c r="BE163" s="170"/>
      <c r="BF163" s="170"/>
      <c r="BG163" s="170"/>
      <c r="BH163" s="170"/>
      <c r="BI163" s="170"/>
      <c r="BJ163" s="170"/>
      <c r="BK163" s="167">
        <f t="shared" si="114"/>
        <v>0</v>
      </c>
      <c r="BL163" s="167">
        <f t="shared" si="115"/>
        <v>0</v>
      </c>
      <c r="BM163" s="167">
        <f t="shared" si="116"/>
        <v>0</v>
      </c>
      <c r="BN163" s="167">
        <f t="shared" si="117"/>
        <v>0</v>
      </c>
    </row>
    <row r="164" spans="1:66" s="171" customFormat="1" hidden="1" outlineLevel="1" x14ac:dyDescent="0.3">
      <c r="A164" s="183">
        <v>38</v>
      </c>
      <c r="B164" s="183" t="s">
        <v>3587</v>
      </c>
      <c r="C164" s="183" t="s">
        <v>63</v>
      </c>
      <c r="D164" s="183" t="s">
        <v>3270</v>
      </c>
      <c r="E164" s="183" t="str">
        <f>VLOOKUP(A164,'Bevétel 2a SZH 2023'!B:C,2,0)</f>
        <v>Béremelés 2021-2022 még itt nem lévő része</v>
      </c>
      <c r="F164" s="183" t="s">
        <v>2696</v>
      </c>
      <c r="G164" s="183">
        <v>322</v>
      </c>
      <c r="H164" s="186" t="s">
        <v>659</v>
      </c>
      <c r="I164" s="165">
        <f>IFERROR(VLOOKUP($A164,'Bevétel 2a SZH 2023'!$B:$L,MATCH($I$1,'Bevétel 2a SZH 2023'!$B$1:$L$1,0),0), )</f>
        <v>0</v>
      </c>
      <c r="J164" s="165">
        <f t="shared" si="122"/>
        <v>0</v>
      </c>
      <c r="K164" s="150">
        <f t="shared" si="125"/>
        <v>0</v>
      </c>
      <c r="L164" s="150">
        <f t="shared" si="123"/>
        <v>0</v>
      </c>
      <c r="M164" s="542">
        <v>2</v>
      </c>
      <c r="N164" s="150">
        <f>IFERROR(VLOOKUP($M164,'1 b felosztások'!$A:$AE,'1 b felosztások'!C$2,0)*$I164,0)</f>
        <v>0</v>
      </c>
      <c r="O164" s="150">
        <f>IFERROR(VLOOKUP($M164,'1 b felosztások'!$A:$AE,'1 b felosztások'!D$2,0)*$I164,0)</f>
        <v>0</v>
      </c>
      <c r="P164" s="150">
        <f>IFERROR(VLOOKUP($M164,'1 b felosztások'!$A:$AE,'1 b felosztások'!E$2,0)*$I164,0)</f>
        <v>0</v>
      </c>
      <c r="Q164" s="150">
        <f>IFERROR(VLOOKUP($M164,'1 b felosztások'!$A:$AE,'1 b felosztások'!F$2,0)*$I164,0)</f>
        <v>0</v>
      </c>
      <c r="R164" s="150">
        <f>IFERROR(VLOOKUP($M164,'1 b felosztások'!$A:$AE,'1 b felosztások'!G$2,0)*$I164,0)</f>
        <v>0</v>
      </c>
      <c r="S164" s="150">
        <f>IFERROR(VLOOKUP($M164,'1 b felosztások'!$A:$AE,'1 b felosztások'!H$2,0)*$I164,0)</f>
        <v>0</v>
      </c>
      <c r="T164" s="150">
        <f>IFERROR(VLOOKUP($M164,'1 b felosztások'!$A:$AE,'1 b felosztások'!I$2,0)*$I164,0)</f>
        <v>0</v>
      </c>
      <c r="U164" s="150">
        <f>IFERROR(VLOOKUP($M164,'1 b felosztások'!$A:$AE,'1 b felosztások'!J$2,0)*$I164,0)</f>
        <v>0</v>
      </c>
      <c r="V164" s="150">
        <f>IFERROR(VLOOKUP($M164,'1 b felosztások'!$A:$AE,'1 b felosztások'!K$2,0)*$I164,0)</f>
        <v>0</v>
      </c>
      <c r="W164" s="150">
        <f>IFERROR(VLOOKUP($M164,'1 b felosztások'!$A:$AE,'1 b felosztások'!L$2,0)*$I164,0)</f>
        <v>0</v>
      </c>
      <c r="X164" s="150">
        <f>IFERROR(VLOOKUP($M164,'1 b felosztások'!$A:$AE,'1 b felosztások'!M$2,0)*$I164,0)</f>
        <v>0</v>
      </c>
      <c r="Y164" s="150">
        <f>IFERROR(VLOOKUP($M164,'1 b felosztások'!$A:$AE,'1 b felosztások'!N$2,0)*$I164,0)</f>
        <v>0</v>
      </c>
      <c r="Z164" s="150">
        <f>IFERROR(VLOOKUP($M164,'1 b felosztások'!$A:$AE,'1 b felosztások'!O$2,0)*$I164,0)</f>
        <v>0</v>
      </c>
      <c r="AA164" s="150">
        <f>IFERROR(VLOOKUP($M164,'1 b felosztások'!$A:$AE,'1 b felosztások'!P$2,0)*$I164,0)</f>
        <v>0</v>
      </c>
      <c r="AB164" s="150">
        <f>IFERROR(VLOOKUP($M164,'1 b felosztások'!$A:$AE,'1 b felosztások'!Q$2,0)*$I164,0)</f>
        <v>0</v>
      </c>
      <c r="AC164" s="150"/>
      <c r="AD164" s="150"/>
      <c r="AE164" s="150"/>
      <c r="AF164" s="150"/>
      <c r="AG164" s="150"/>
      <c r="AH164" s="150"/>
      <c r="AI164" s="150"/>
      <c r="AJ164" s="150"/>
      <c r="AK164" s="150"/>
      <c r="AL164" s="150"/>
      <c r="AM164" s="150"/>
      <c r="AN164" s="150"/>
      <c r="AO164" s="150"/>
      <c r="AP164" s="150"/>
      <c r="AQ164" s="150"/>
      <c r="AR164" s="150"/>
      <c r="AS164" s="150"/>
      <c r="AT164" s="150"/>
      <c r="AU164" s="150"/>
      <c r="AV164" s="150"/>
      <c r="AW164" s="150"/>
      <c r="AX164" s="150"/>
      <c r="AY164" s="150"/>
      <c r="AZ164" s="150"/>
      <c r="BA164" s="150"/>
      <c r="BB164" s="150"/>
      <c r="BC164" s="170"/>
      <c r="BD164" s="170"/>
      <c r="BE164" s="170"/>
      <c r="BF164" s="170"/>
      <c r="BG164" s="170"/>
      <c r="BH164" s="170"/>
      <c r="BI164" s="170"/>
      <c r="BJ164" s="170"/>
      <c r="BK164" s="167">
        <f t="shared" si="114"/>
        <v>0</v>
      </c>
      <c r="BL164" s="167">
        <f t="shared" si="115"/>
        <v>0</v>
      </c>
      <c r="BM164" s="167">
        <f t="shared" si="116"/>
        <v>0</v>
      </c>
      <c r="BN164" s="167">
        <f t="shared" si="117"/>
        <v>0</v>
      </c>
    </row>
    <row r="165" spans="1:66" s="168" customFormat="1" hidden="1" outlineLevel="1" collapsed="1" x14ac:dyDescent="0.3">
      <c r="A165" s="183">
        <v>39</v>
      </c>
      <c r="B165" s="183" t="s">
        <v>3253</v>
      </c>
      <c r="C165" s="183" t="s">
        <v>63</v>
      </c>
      <c r="D165" s="183"/>
      <c r="E165" s="183" t="str">
        <f>VLOOKUP(A165,'Bevétel 2a SZH 2023'!B:C,2,0)</f>
        <v>Stipendium Hungaricum költségtérítés célszervezetre (átoktatás után) - 2022 évi tény 85%-a</v>
      </c>
      <c r="F165" s="183" t="s">
        <v>2696</v>
      </c>
      <c r="G165" s="183"/>
      <c r="H165" s="183" t="s">
        <v>2617</v>
      </c>
      <c r="I165" s="165">
        <f>IFERROR(VLOOKUP($A165,'Bevétel 2a SZH 2023'!$B:$L,MATCH($I$1,'Bevétel 2a SZH 2023'!$B$1:$L$1,0),0), )</f>
        <v>3179247</v>
      </c>
      <c r="J165" s="165">
        <f t="shared" si="122"/>
        <v>3179246.6089158901</v>
      </c>
      <c r="K165" s="150">
        <f t="shared" si="49"/>
        <v>0.39108410989865661</v>
      </c>
      <c r="L165" s="150">
        <f t="shared" si="123"/>
        <v>3179246.6089158901</v>
      </c>
      <c r="M165" s="166"/>
      <c r="N165" s="165">
        <f>SUM(N168:N176)</f>
        <v>231218</v>
      </c>
      <c r="O165" s="165">
        <f>SUM(O168:O176)</f>
        <v>0</v>
      </c>
      <c r="P165" s="165">
        <f t="shared" ref="P165:Y165" si="134">SUM(P168:P176)</f>
        <v>0</v>
      </c>
      <c r="Q165" s="165">
        <f t="shared" si="134"/>
        <v>520240.34274986299</v>
      </c>
      <c r="R165" s="165">
        <f t="shared" si="134"/>
        <v>693653.79033315065</v>
      </c>
      <c r="S165" s="165">
        <f t="shared" si="134"/>
        <v>0</v>
      </c>
      <c r="T165" s="165">
        <f t="shared" si="134"/>
        <v>0</v>
      </c>
      <c r="U165" s="165">
        <f t="shared" si="134"/>
        <v>1560721.028249589</v>
      </c>
      <c r="V165" s="165">
        <f t="shared" si="134"/>
        <v>0</v>
      </c>
      <c r="W165" s="165">
        <f t="shared" si="134"/>
        <v>173413.44758328766</v>
      </c>
      <c r="X165" s="165">
        <f t="shared" si="134"/>
        <v>0</v>
      </c>
      <c r="Y165" s="165">
        <f t="shared" si="134"/>
        <v>0</v>
      </c>
      <c r="Z165" s="165">
        <f>SUM(Z168:Z176)</f>
        <v>0</v>
      </c>
      <c r="AA165" s="165">
        <f>SUM(AA168:AA176)</f>
        <v>0</v>
      </c>
      <c r="AB165" s="165">
        <f>SUM(AB168:AB176)</f>
        <v>0</v>
      </c>
      <c r="AC165" s="165"/>
      <c r="AD165" s="165"/>
      <c r="AE165" s="165"/>
      <c r="AF165" s="165"/>
      <c r="AG165" s="165"/>
      <c r="AH165" s="165"/>
      <c r="AI165" s="165"/>
      <c r="AJ165" s="165"/>
      <c r="AK165" s="165"/>
      <c r="AL165" s="165"/>
      <c r="AM165" s="165"/>
      <c r="AN165" s="165"/>
      <c r="AO165" s="165"/>
      <c r="AP165" s="165"/>
      <c r="AQ165" s="165"/>
      <c r="AR165" s="165"/>
      <c r="AS165" s="165"/>
      <c r="AT165" s="165"/>
      <c r="AU165" s="165"/>
      <c r="AV165" s="165"/>
      <c r="AW165" s="165"/>
      <c r="AX165" s="165"/>
      <c r="AY165" s="165"/>
      <c r="AZ165" s="165"/>
      <c r="BA165" s="165"/>
      <c r="BB165" s="165"/>
      <c r="BC165" s="167"/>
      <c r="BD165" s="167"/>
      <c r="BE165" s="167"/>
      <c r="BF165" s="167"/>
      <c r="BG165" s="167"/>
      <c r="BH165" s="167"/>
      <c r="BI165" s="167"/>
      <c r="BJ165" s="167"/>
      <c r="BK165" s="167">
        <f t="shared" si="114"/>
        <v>3179246.6089158901</v>
      </c>
      <c r="BL165" s="167">
        <f t="shared" si="115"/>
        <v>0</v>
      </c>
      <c r="BM165" s="167">
        <f t="shared" si="116"/>
        <v>0</v>
      </c>
      <c r="BN165" s="167">
        <f t="shared" si="117"/>
        <v>0</v>
      </c>
    </row>
    <row r="166" spans="1:66" s="171" customFormat="1" hidden="1" outlineLevel="2" x14ac:dyDescent="0.3">
      <c r="A166" s="186"/>
      <c r="B166" s="186" t="s">
        <v>2860</v>
      </c>
      <c r="C166" s="186" t="s">
        <v>63</v>
      </c>
      <c r="D166" s="186" t="s">
        <v>3271</v>
      </c>
      <c r="E166" s="186" t="s">
        <v>2595</v>
      </c>
      <c r="F166" s="186" t="s">
        <v>2697</v>
      </c>
      <c r="G166" s="186">
        <v>327</v>
      </c>
      <c r="H166" s="186" t="s">
        <v>669</v>
      </c>
      <c r="I166" s="150">
        <f>VLOOKUP($I$1,'3.a'!B:V,13,0)</f>
        <v>0</v>
      </c>
      <c r="J166" s="165">
        <f t="shared" si="122"/>
        <v>0</v>
      </c>
      <c r="K166" s="150">
        <f t="shared" si="49"/>
        <v>0</v>
      </c>
      <c r="L166" s="150">
        <f t="shared" si="123"/>
        <v>0</v>
      </c>
      <c r="M166" s="166"/>
      <c r="N166" s="150"/>
      <c r="O166" s="150"/>
      <c r="P166" s="150"/>
      <c r="Q166" s="150"/>
      <c r="R166" s="150"/>
      <c r="S166" s="150"/>
      <c r="T166" s="150"/>
      <c r="U166" s="150"/>
      <c r="V166" s="150"/>
      <c r="W166" s="150"/>
      <c r="X166" s="150"/>
      <c r="Y166" s="150"/>
      <c r="Z166" s="150"/>
      <c r="AA166" s="150"/>
      <c r="AB166" s="150"/>
      <c r="AC166" s="150"/>
      <c r="AD166" s="150"/>
      <c r="AE166" s="150"/>
      <c r="AF166" s="150"/>
      <c r="AG166" s="150"/>
      <c r="AH166" s="150"/>
      <c r="AI166" s="150"/>
      <c r="AJ166" s="150"/>
      <c r="AK166" s="150"/>
      <c r="AL166" s="150">
        <f>+I166</f>
        <v>0</v>
      </c>
      <c r="AM166" s="150"/>
      <c r="AN166" s="150"/>
      <c r="AO166" s="150"/>
      <c r="AP166" s="150"/>
      <c r="AQ166" s="150"/>
      <c r="AR166" s="150"/>
      <c r="AS166" s="150"/>
      <c r="AT166" s="150"/>
      <c r="AU166" s="150"/>
      <c r="AV166" s="150"/>
      <c r="AW166" s="150"/>
      <c r="AX166" s="150"/>
      <c r="AY166" s="150"/>
      <c r="AZ166" s="150"/>
      <c r="BA166" s="150"/>
      <c r="BB166" s="150"/>
      <c r="BC166" s="170"/>
      <c r="BD166" s="170"/>
      <c r="BE166" s="170"/>
      <c r="BF166" s="170"/>
      <c r="BG166" s="170">
        <f>-I166</f>
        <v>0</v>
      </c>
      <c r="BH166" s="170"/>
      <c r="BI166" s="170"/>
      <c r="BJ166" s="170"/>
      <c r="BK166" s="167">
        <f t="shared" si="114"/>
        <v>0</v>
      </c>
      <c r="BL166" s="167">
        <f t="shared" si="115"/>
        <v>0</v>
      </c>
      <c r="BM166" s="167">
        <f t="shared" si="116"/>
        <v>0</v>
      </c>
      <c r="BN166" s="167">
        <f t="shared" si="117"/>
        <v>0</v>
      </c>
    </row>
    <row r="167" spans="1:66" s="171" customFormat="1" hidden="1" outlineLevel="2" x14ac:dyDescent="0.3">
      <c r="A167" s="186"/>
      <c r="B167" s="186" t="s">
        <v>2584</v>
      </c>
      <c r="C167" s="186" t="s">
        <v>63</v>
      </c>
      <c r="D167" s="186" t="s">
        <v>3271</v>
      </c>
      <c r="E167" s="186" t="s">
        <v>2584</v>
      </c>
      <c r="F167" s="186" t="s">
        <v>2697</v>
      </c>
      <c r="G167" s="186">
        <v>343</v>
      </c>
      <c r="H167" s="186" t="s">
        <v>696</v>
      </c>
      <c r="I167" s="150">
        <f>-VLOOKUP($I$1,'3.a'!B:V,14,0)</f>
        <v>0</v>
      </c>
      <c r="J167" s="165">
        <f t="shared" si="122"/>
        <v>0</v>
      </c>
      <c r="K167" s="150">
        <f t="shared" si="49"/>
        <v>0</v>
      </c>
      <c r="L167" s="150">
        <f t="shared" si="123"/>
        <v>0</v>
      </c>
      <c r="M167" s="166"/>
      <c r="N167" s="150"/>
      <c r="O167" s="150"/>
      <c r="P167" s="150"/>
      <c r="Q167" s="150"/>
      <c r="R167" s="150"/>
      <c r="S167" s="150"/>
      <c r="T167" s="150"/>
      <c r="U167" s="150"/>
      <c r="V167" s="150"/>
      <c r="W167" s="150"/>
      <c r="X167" s="150"/>
      <c r="Y167" s="150"/>
      <c r="Z167" s="150"/>
      <c r="AA167" s="150"/>
      <c r="AB167" s="150"/>
      <c r="AC167" s="150"/>
      <c r="AD167" s="150"/>
      <c r="AE167" s="150"/>
      <c r="AF167" s="150"/>
      <c r="AG167" s="150"/>
      <c r="AH167" s="150"/>
      <c r="AI167" s="150"/>
      <c r="AJ167" s="150"/>
      <c r="AK167" s="150"/>
      <c r="AL167" s="150">
        <f>I167</f>
        <v>0</v>
      </c>
      <c r="AM167" s="150"/>
      <c r="AN167" s="150"/>
      <c r="AO167" s="150"/>
      <c r="AP167" s="150"/>
      <c r="AQ167" s="150"/>
      <c r="AR167" s="150"/>
      <c r="AS167" s="150"/>
      <c r="AT167" s="150"/>
      <c r="AU167" s="150"/>
      <c r="AV167" s="150"/>
      <c r="AW167" s="150"/>
      <c r="AX167" s="150"/>
      <c r="AY167" s="150"/>
      <c r="AZ167" s="150"/>
      <c r="BA167" s="150"/>
      <c r="BB167" s="150"/>
      <c r="BC167" s="170"/>
      <c r="BD167" s="170"/>
      <c r="BE167" s="170">
        <f>-I167</f>
        <v>0</v>
      </c>
      <c r="BF167" s="170"/>
      <c r="BG167" s="170"/>
      <c r="BH167" s="170"/>
      <c r="BI167" s="170"/>
      <c r="BJ167" s="170"/>
      <c r="BK167" s="167">
        <f t="shared" si="114"/>
        <v>0</v>
      </c>
      <c r="BL167" s="167">
        <f t="shared" si="115"/>
        <v>0</v>
      </c>
      <c r="BM167" s="167">
        <f t="shared" si="116"/>
        <v>0</v>
      </c>
      <c r="BN167" s="167">
        <f t="shared" si="117"/>
        <v>0</v>
      </c>
    </row>
    <row r="168" spans="1:66" s="171" customFormat="1" hidden="1" outlineLevel="2" x14ac:dyDescent="0.3">
      <c r="A168" s="186"/>
      <c r="B168" s="186" t="s">
        <v>2858</v>
      </c>
      <c r="C168" s="186" t="s">
        <v>63</v>
      </c>
      <c r="D168" s="186"/>
      <c r="E168" s="186" t="s">
        <v>2585</v>
      </c>
      <c r="F168" s="186" t="s">
        <v>63</v>
      </c>
      <c r="G168" s="186">
        <v>333</v>
      </c>
      <c r="H168" s="186" t="s">
        <v>680</v>
      </c>
      <c r="I168" s="150">
        <f>+I166+I167</f>
        <v>0</v>
      </c>
      <c r="J168" s="165">
        <f t="shared" si="122"/>
        <v>0</v>
      </c>
      <c r="K168" s="150">
        <f t="shared" si="49"/>
        <v>0</v>
      </c>
      <c r="L168" s="150">
        <f t="shared" si="123"/>
        <v>0</v>
      </c>
      <c r="M168" s="173" t="s">
        <v>1340</v>
      </c>
      <c r="N168" s="150">
        <f>IFERROR(VLOOKUP(N$1,'22.b2'!$D:$H,4,0),0)</f>
        <v>0</v>
      </c>
      <c r="O168" s="150">
        <f>IFERROR(VLOOKUP(O$1,'22.b2'!$D:$H,4,0),0)</f>
        <v>0</v>
      </c>
      <c r="P168" s="150">
        <f>IFERROR(VLOOKUP(P$1,'22.b2'!$D:$H,4,0),0)</f>
        <v>0</v>
      </c>
      <c r="Q168" s="150">
        <f>IFERROR(VLOOKUP(Q$1,'22.b2'!$D:$H,4,0),0)</f>
        <v>0</v>
      </c>
      <c r="R168" s="150">
        <f>IFERROR(VLOOKUP(R$1,'22.b2'!$D:$H,4,0),0)</f>
        <v>0</v>
      </c>
      <c r="S168" s="150">
        <f>IFERROR(VLOOKUP(S$1,'22.b2'!$D:$H,4,0),0)</f>
        <v>0</v>
      </c>
      <c r="T168" s="150">
        <f>IFERROR(VLOOKUP(T$1,'22.b2'!$D:$H,4,0),0)</f>
        <v>0</v>
      </c>
      <c r="U168" s="150">
        <f>IFERROR(VLOOKUP(U$1,'22.b2'!$D:$H,4,0),0)</f>
        <v>0</v>
      </c>
      <c r="V168" s="150">
        <f>IFERROR(VLOOKUP(V$1,'22.b2'!$D:$H,4,0),0)</f>
        <v>0</v>
      </c>
      <c r="W168" s="150">
        <f>IFERROR(VLOOKUP(W$1,'22.b2'!$D:$H,4,0),0)</f>
        <v>0</v>
      </c>
      <c r="X168" s="150">
        <f>IFERROR(VLOOKUP(X$1,'22.b2'!$D:$H,4,0),0)</f>
        <v>0</v>
      </c>
      <c r="Y168" s="150">
        <f>IFERROR(VLOOKUP(Y$1,'22.b2'!$D:$H,4,0),0)</f>
        <v>0</v>
      </c>
      <c r="Z168" s="150">
        <f>IFERROR(VLOOKUP(Z$1,'22.b2'!$D:$H,4,0),0)</f>
        <v>0</v>
      </c>
      <c r="AA168" s="150">
        <f>IFERROR(VLOOKUP(AA$1,'22.b2'!$D:$H,4,0),0)</f>
        <v>0</v>
      </c>
      <c r="AB168" s="190">
        <f>IFERROR(VLOOKUP($I$1,'22.b2'!$C:$H,5,0),0)</f>
        <v>0</v>
      </c>
      <c r="AC168" s="150"/>
      <c r="AD168" s="150"/>
      <c r="AE168" s="150"/>
      <c r="AF168" s="150"/>
      <c r="AG168" s="150"/>
      <c r="AH168" s="150"/>
      <c r="AI168" s="150"/>
      <c r="AJ168" s="150"/>
      <c r="AK168" s="150"/>
      <c r="AL168" s="150">
        <f>-I168</f>
        <v>0</v>
      </c>
      <c r="AM168" s="150"/>
      <c r="AN168" s="150"/>
      <c r="AO168" s="150"/>
      <c r="AP168" s="174"/>
      <c r="AQ168" s="174"/>
      <c r="AR168" s="174"/>
      <c r="AS168" s="174"/>
      <c r="AT168" s="174"/>
      <c r="AU168" s="174"/>
      <c r="AV168" s="174"/>
      <c r="AW168" s="174"/>
      <c r="AX168" s="174"/>
      <c r="AY168" s="174"/>
      <c r="AZ168" s="174"/>
      <c r="BA168" s="174"/>
      <c r="BB168" s="174"/>
      <c r="BC168" s="170"/>
      <c r="BD168" s="170"/>
      <c r="BE168" s="170"/>
      <c r="BF168" s="170"/>
      <c r="BG168" s="170"/>
      <c r="BH168" s="170"/>
      <c r="BI168" s="170"/>
      <c r="BJ168" s="170"/>
      <c r="BK168" s="167">
        <f t="shared" si="114"/>
        <v>0</v>
      </c>
      <c r="BL168" s="167">
        <f t="shared" si="115"/>
        <v>0</v>
      </c>
      <c r="BM168" s="167">
        <f t="shared" si="116"/>
        <v>0</v>
      </c>
      <c r="BN168" s="167">
        <f t="shared" si="117"/>
        <v>0</v>
      </c>
    </row>
    <row r="169" spans="1:66" s="171" customFormat="1" hidden="1" outlineLevel="2" x14ac:dyDescent="0.3">
      <c r="A169" s="186"/>
      <c r="B169" s="186" t="s">
        <v>2858</v>
      </c>
      <c r="C169" s="186" t="s">
        <v>63</v>
      </c>
      <c r="D169" s="186"/>
      <c r="E169" s="186" t="s">
        <v>2687</v>
      </c>
      <c r="F169" s="186" t="s">
        <v>63</v>
      </c>
      <c r="G169" s="186">
        <v>333</v>
      </c>
      <c r="H169" s="186" t="s">
        <v>680</v>
      </c>
      <c r="I169" s="150">
        <v>0</v>
      </c>
      <c r="J169" s="165">
        <f t="shared" si="122"/>
        <v>0</v>
      </c>
      <c r="K169" s="150">
        <f>+I169-J169</f>
        <v>0</v>
      </c>
      <c r="L169" s="150">
        <f t="shared" si="123"/>
        <v>0</v>
      </c>
      <c r="M169" s="191"/>
      <c r="N169" s="150">
        <f>IFERROR(VLOOKUP($M169,'1 b felosztások'!$A:$E,'1 b felosztások'!C$2,0)*-$AB169,0)</f>
        <v>0</v>
      </c>
      <c r="O169" s="150">
        <f>IFERROR(VLOOKUP($M169,'1 b felosztások'!$A:$E,'1 b felosztások'!D$2,0)*-$AB169,0)</f>
        <v>0</v>
      </c>
      <c r="P169" s="150">
        <f>IFERROR(VLOOKUP($M169,'1 b felosztások'!$A:$E,'1 b felosztások'!E$2,0)*-$AB169,0)</f>
        <v>0</v>
      </c>
      <c r="Q169" s="150">
        <f>IFERROR(VLOOKUP($M169,'1 b felosztások'!$A:$E,'1 b felosztások'!F$2,0)*-$AB169,0)</f>
        <v>0</v>
      </c>
      <c r="R169" s="150">
        <f>IFERROR(VLOOKUP($M169,'1 b felosztások'!$A:$E,'1 b felosztások'!G$2,0)*-$AB169,0)</f>
        <v>0</v>
      </c>
      <c r="S169" s="150">
        <f>IFERROR(VLOOKUP($M169,'1 b felosztások'!$A:$E,'1 b felosztások'!H$2,0)*-$AB169,0)</f>
        <v>0</v>
      </c>
      <c r="T169" s="150">
        <f>IFERROR(VLOOKUP($M169,'1 b felosztások'!$A:$E,'1 b felosztások'!I$2,0)*-$AB169,0)</f>
        <v>0</v>
      </c>
      <c r="U169" s="150">
        <f>IFERROR(VLOOKUP($M169,'1 b felosztások'!$A:$E,'1 b felosztások'!J$2,0)*-$AB169,0)</f>
        <v>0</v>
      </c>
      <c r="V169" s="150">
        <f>IFERROR(VLOOKUP($M169,'1 b felosztások'!$A:$E,'1 b felosztások'!K$2,0)*-$AB169,0)</f>
        <v>0</v>
      </c>
      <c r="W169" s="150">
        <f>IFERROR(VLOOKUP($M169,'1 b felosztások'!$A:$E,'1 b felosztások'!L$2,0)*-$AB169,0)</f>
        <v>0</v>
      </c>
      <c r="X169" s="150">
        <f>IFERROR(VLOOKUP($M169,'1 b felosztások'!$A:$E,'1 b felosztások'!M$2,0)*-$AB169,0)</f>
        <v>0</v>
      </c>
      <c r="Y169" s="150">
        <f>IFERROR(VLOOKUP($M169,'1 b felosztások'!$A:$E,'1 b felosztások'!N$2,0)*-$AB169,0)</f>
        <v>0</v>
      </c>
      <c r="Z169" s="150">
        <f>IFERROR(VLOOKUP($M169,'1 b felosztások'!$A:$E,'1 b felosztások'!C$2,0)*-$AB169,0)</f>
        <v>0</v>
      </c>
      <c r="AA169" s="150">
        <f>IFERROR(VLOOKUP($M169,'1 b felosztások'!$A:$E,'1 b felosztások'!D$2,0)*-$AB169,0)</f>
        <v>0</v>
      </c>
      <c r="AB169" s="179">
        <f>-AB168</f>
        <v>0</v>
      </c>
      <c r="AC169" s="150"/>
      <c r="AD169" s="150"/>
      <c r="AE169" s="150"/>
      <c r="AF169" s="150"/>
      <c r="AG169" s="150"/>
      <c r="AH169" s="150"/>
      <c r="AI169" s="150"/>
      <c r="AJ169" s="150"/>
      <c r="AK169" s="150"/>
      <c r="AL169" s="150"/>
      <c r="AM169" s="150"/>
      <c r="AN169" s="150"/>
      <c r="AO169" s="150"/>
      <c r="AP169" s="174"/>
      <c r="AQ169" s="174"/>
      <c r="AR169" s="174"/>
      <c r="AS169" s="174"/>
      <c r="AT169" s="174"/>
      <c r="AU169" s="174"/>
      <c r="AV169" s="174"/>
      <c r="AW169" s="174"/>
      <c r="AX169" s="174"/>
      <c r="AY169" s="174"/>
      <c r="AZ169" s="174"/>
      <c r="BA169" s="174"/>
      <c r="BB169" s="174"/>
      <c r="BC169" s="170"/>
      <c r="BD169" s="170"/>
      <c r="BE169" s="170"/>
      <c r="BF169" s="170"/>
      <c r="BG169" s="170"/>
      <c r="BH169" s="170"/>
      <c r="BI169" s="170"/>
      <c r="BJ169" s="170"/>
      <c r="BK169" s="167">
        <f t="shared" si="114"/>
        <v>0</v>
      </c>
      <c r="BL169" s="167">
        <f t="shared" si="115"/>
        <v>0</v>
      </c>
      <c r="BM169" s="167">
        <f t="shared" si="116"/>
        <v>0</v>
      </c>
      <c r="BN169" s="167">
        <f t="shared" si="117"/>
        <v>0</v>
      </c>
    </row>
    <row r="170" spans="1:66" s="171" customFormat="1" hidden="1" outlineLevel="2" x14ac:dyDescent="0.3">
      <c r="A170" s="186"/>
      <c r="B170" s="186" t="s">
        <v>2858</v>
      </c>
      <c r="C170" s="186" t="s">
        <v>63</v>
      </c>
      <c r="D170" s="186"/>
      <c r="E170" s="186" t="s">
        <v>2687</v>
      </c>
      <c r="F170" s="186" t="s">
        <v>63</v>
      </c>
      <c r="G170" s="186">
        <v>333</v>
      </c>
      <c r="H170" s="186" t="s">
        <v>680</v>
      </c>
      <c r="I170" s="150">
        <v>0</v>
      </c>
      <c r="J170" s="165">
        <f t="shared" si="122"/>
        <v>0</v>
      </c>
      <c r="K170" s="150">
        <f t="shared" ref="K170:K172" si="135">+I170-J170</f>
        <v>0</v>
      </c>
      <c r="L170" s="150">
        <f t="shared" si="123"/>
        <v>0</v>
      </c>
      <c r="M170" s="191"/>
      <c r="N170" s="150">
        <f>IFERROR(VLOOKUP($M170,'1 b felosztások'!$A:$E,'1 b felosztások'!C$2,0)*-$AB170,0)</f>
        <v>0</v>
      </c>
      <c r="O170" s="150">
        <f>IFERROR(VLOOKUP($M170,'1 b felosztások'!$A:$E,'1 b felosztások'!D$2,0)*-$AB170,0)</f>
        <v>0</v>
      </c>
      <c r="P170" s="150">
        <f>IFERROR(VLOOKUP($M170,'1 b felosztások'!$A:$E,'1 b felosztások'!E$2,0)*-$AB170,0)</f>
        <v>0</v>
      </c>
      <c r="Q170" s="150">
        <f>IFERROR(VLOOKUP($M170,'1 b felosztások'!$A:$E,'1 b felosztások'!F$2,0)*-$AB170,0)</f>
        <v>0</v>
      </c>
      <c r="R170" s="150">
        <f>IFERROR(VLOOKUP($M170,'1 b felosztások'!$A:$E,'1 b felosztások'!G$2,0)*-$AB170,0)</f>
        <v>0</v>
      </c>
      <c r="S170" s="150">
        <f>IFERROR(VLOOKUP($M170,'1 b felosztások'!$A:$E,'1 b felosztások'!H$2,0)*-$AB170,0)</f>
        <v>0</v>
      </c>
      <c r="T170" s="150">
        <f>IFERROR(VLOOKUP($M170,'1 b felosztások'!$A:$E,'1 b felosztások'!I$2,0)*-$AB170,0)</f>
        <v>0</v>
      </c>
      <c r="U170" s="150">
        <f>IFERROR(VLOOKUP($M170,'1 b felosztások'!$A:$E,'1 b felosztások'!J$2,0)*-$AB170,0)</f>
        <v>0</v>
      </c>
      <c r="V170" s="150">
        <f>IFERROR(VLOOKUP($M170,'1 b felosztások'!$A:$E,'1 b felosztások'!K$2,0)*-$AB170,0)</f>
        <v>0</v>
      </c>
      <c r="W170" s="150">
        <f>IFERROR(VLOOKUP($M170,'1 b felosztások'!$A:$E,'1 b felosztások'!L$2,0)*-$AB170,0)</f>
        <v>0</v>
      </c>
      <c r="X170" s="150">
        <f>IFERROR(VLOOKUP($M170,'1 b felosztások'!$A:$E,'1 b felosztások'!M$2,0)*-$AB170,0)</f>
        <v>0</v>
      </c>
      <c r="Y170" s="150">
        <f>IFERROR(VLOOKUP($M170,'1 b felosztások'!$A:$E,'1 b felosztások'!N$2,0)*-$AB170,0)</f>
        <v>0</v>
      </c>
      <c r="Z170" s="150">
        <f>IFERROR(VLOOKUP($M170,'1 b felosztások'!$A:$E,'1 b felosztások'!C$2,0)*-$AB170,0)</f>
        <v>0</v>
      </c>
      <c r="AA170" s="150">
        <f>IFERROR(VLOOKUP($M170,'1 b felosztások'!$A:$E,'1 b felosztások'!D$2,0)*-$AB170,0)</f>
        <v>0</v>
      </c>
      <c r="AB170" s="179"/>
      <c r="AC170" s="150"/>
      <c r="AD170" s="150"/>
      <c r="AE170" s="150"/>
      <c r="AF170" s="150"/>
      <c r="AG170" s="150"/>
      <c r="AH170" s="150"/>
      <c r="AI170" s="150"/>
      <c r="AJ170" s="150"/>
      <c r="AK170" s="150"/>
      <c r="AL170" s="150"/>
      <c r="AM170" s="150"/>
      <c r="AN170" s="150"/>
      <c r="AO170" s="150"/>
      <c r="AP170" s="174"/>
      <c r="AQ170" s="174"/>
      <c r="AR170" s="174"/>
      <c r="AS170" s="174"/>
      <c r="AT170" s="174"/>
      <c r="AU170" s="174"/>
      <c r="AV170" s="174"/>
      <c r="AW170" s="174"/>
      <c r="AX170" s="174"/>
      <c r="AY170" s="174"/>
      <c r="AZ170" s="174"/>
      <c r="BA170" s="174"/>
      <c r="BB170" s="174"/>
      <c r="BC170" s="170"/>
      <c r="BD170" s="170"/>
      <c r="BE170" s="170"/>
      <c r="BF170" s="170"/>
      <c r="BG170" s="170"/>
      <c r="BH170" s="170"/>
      <c r="BI170" s="170"/>
      <c r="BJ170" s="170"/>
      <c r="BK170" s="167">
        <f t="shared" si="114"/>
        <v>0</v>
      </c>
      <c r="BL170" s="167">
        <f t="shared" si="115"/>
        <v>0</v>
      </c>
      <c r="BM170" s="167">
        <f t="shared" si="116"/>
        <v>0</v>
      </c>
      <c r="BN170" s="167">
        <f t="shared" si="117"/>
        <v>0</v>
      </c>
    </row>
    <row r="171" spans="1:66" s="171" customFormat="1" hidden="1" outlineLevel="2" x14ac:dyDescent="0.3">
      <c r="A171" s="186"/>
      <c r="B171" s="186" t="s">
        <v>2858</v>
      </c>
      <c r="C171" s="186" t="s">
        <v>63</v>
      </c>
      <c r="D171" s="186"/>
      <c r="E171" s="186" t="s">
        <v>2687</v>
      </c>
      <c r="F171" s="186" t="s">
        <v>63</v>
      </c>
      <c r="G171" s="186">
        <v>333</v>
      </c>
      <c r="H171" s="186" t="s">
        <v>680</v>
      </c>
      <c r="I171" s="150">
        <v>0</v>
      </c>
      <c r="J171" s="165">
        <f t="shared" si="122"/>
        <v>0</v>
      </c>
      <c r="K171" s="150">
        <f t="shared" si="135"/>
        <v>0</v>
      </c>
      <c r="L171" s="150">
        <f t="shared" si="123"/>
        <v>0</v>
      </c>
      <c r="M171" s="191"/>
      <c r="N171" s="150">
        <f>IFERROR(VLOOKUP($M171,'1 b felosztások'!$A:$E,'1 b felosztások'!C$2,0)*-$AB171,0)</f>
        <v>0</v>
      </c>
      <c r="O171" s="150">
        <f>IFERROR(VLOOKUP($M171,'1 b felosztások'!$A:$E,'1 b felosztások'!D$2,0)*-$AB171,0)</f>
        <v>0</v>
      </c>
      <c r="P171" s="150">
        <f>IFERROR(VLOOKUP($M171,'1 b felosztások'!$A:$E,'1 b felosztások'!E$2,0)*-$AB171,0)</f>
        <v>0</v>
      </c>
      <c r="Q171" s="150">
        <f>IFERROR(VLOOKUP($M171,'1 b felosztások'!$A:$E,'1 b felosztások'!F$2,0)*-$AB171,0)</f>
        <v>0</v>
      </c>
      <c r="R171" s="150">
        <f>IFERROR(VLOOKUP($M171,'1 b felosztások'!$A:$E,'1 b felosztások'!G$2,0)*-$AB171,0)</f>
        <v>0</v>
      </c>
      <c r="S171" s="150">
        <f>IFERROR(VLOOKUP($M171,'1 b felosztások'!$A:$E,'1 b felosztások'!H$2,0)*-$AB171,0)</f>
        <v>0</v>
      </c>
      <c r="T171" s="150">
        <f>IFERROR(VLOOKUP($M171,'1 b felosztások'!$A:$E,'1 b felosztások'!I$2,0)*-$AB171,0)</f>
        <v>0</v>
      </c>
      <c r="U171" s="150">
        <f>IFERROR(VLOOKUP($M171,'1 b felosztások'!$A:$E,'1 b felosztások'!J$2,0)*-$AB171,0)</f>
        <v>0</v>
      </c>
      <c r="V171" s="150">
        <f>IFERROR(VLOOKUP($M171,'1 b felosztások'!$A:$E,'1 b felosztások'!K$2,0)*-$AB171,0)</f>
        <v>0</v>
      </c>
      <c r="W171" s="150">
        <f>IFERROR(VLOOKUP($M171,'1 b felosztások'!$A:$E,'1 b felosztások'!L$2,0)*-$AB171,0)</f>
        <v>0</v>
      </c>
      <c r="X171" s="150">
        <f>IFERROR(VLOOKUP($M171,'1 b felosztások'!$A:$E,'1 b felosztások'!M$2,0)*-$AB171,0)</f>
        <v>0</v>
      </c>
      <c r="Y171" s="150">
        <f>IFERROR(VLOOKUP($M171,'1 b felosztások'!$A:$E,'1 b felosztások'!N$2,0)*-$AB171,0)</f>
        <v>0</v>
      </c>
      <c r="Z171" s="150">
        <f>IFERROR(VLOOKUP($M171,'1 b felosztások'!$A:$E,'1 b felosztások'!C$2,0)*-$AB171,0)</f>
        <v>0</v>
      </c>
      <c r="AA171" s="150">
        <f>IFERROR(VLOOKUP($M171,'1 b felosztások'!$A:$E,'1 b felosztások'!D$2,0)*-$AB171,0)</f>
        <v>0</v>
      </c>
      <c r="AB171" s="179"/>
      <c r="AC171" s="150"/>
      <c r="AD171" s="150"/>
      <c r="AE171" s="150"/>
      <c r="AF171" s="150"/>
      <c r="AG171" s="150"/>
      <c r="AH171" s="150"/>
      <c r="AI171" s="150"/>
      <c r="AJ171" s="150"/>
      <c r="AK171" s="150"/>
      <c r="AL171" s="150"/>
      <c r="AM171" s="150"/>
      <c r="AN171" s="150"/>
      <c r="AO171" s="150"/>
      <c r="AP171" s="174"/>
      <c r="AQ171" s="174"/>
      <c r="AR171" s="174"/>
      <c r="AS171" s="174"/>
      <c r="AT171" s="174"/>
      <c r="AU171" s="174"/>
      <c r="AV171" s="174"/>
      <c r="AW171" s="174"/>
      <c r="AX171" s="174"/>
      <c r="AY171" s="174"/>
      <c r="AZ171" s="174"/>
      <c r="BA171" s="174"/>
      <c r="BB171" s="174"/>
      <c r="BC171" s="170"/>
      <c r="BD171" s="170"/>
      <c r="BE171" s="170"/>
      <c r="BF171" s="170"/>
      <c r="BG171" s="170"/>
      <c r="BH171" s="170"/>
      <c r="BI171" s="170"/>
      <c r="BJ171" s="170"/>
      <c r="BK171" s="167">
        <f t="shared" si="114"/>
        <v>0</v>
      </c>
      <c r="BL171" s="167">
        <f t="shared" si="115"/>
        <v>0</v>
      </c>
      <c r="BM171" s="167">
        <f t="shared" si="116"/>
        <v>0</v>
      </c>
      <c r="BN171" s="167">
        <f t="shared" si="117"/>
        <v>0</v>
      </c>
    </row>
    <row r="172" spans="1:66" s="171" customFormat="1" hidden="1" outlineLevel="2" x14ac:dyDescent="0.3">
      <c r="A172" s="186"/>
      <c r="B172" s="186" t="s">
        <v>2858</v>
      </c>
      <c r="C172" s="186" t="s">
        <v>63</v>
      </c>
      <c r="D172" s="186"/>
      <c r="E172" s="186" t="s">
        <v>2687</v>
      </c>
      <c r="F172" s="186" t="s">
        <v>63</v>
      </c>
      <c r="G172" s="186">
        <v>333</v>
      </c>
      <c r="H172" s="186" t="s">
        <v>680</v>
      </c>
      <c r="I172" s="150">
        <v>0</v>
      </c>
      <c r="J172" s="165">
        <f t="shared" si="122"/>
        <v>0</v>
      </c>
      <c r="K172" s="150">
        <f t="shared" si="135"/>
        <v>0</v>
      </c>
      <c r="L172" s="150">
        <f t="shared" si="123"/>
        <v>0</v>
      </c>
      <c r="M172" s="191"/>
      <c r="N172" s="150">
        <f>IFERROR(VLOOKUP($M172,'1 b felosztások'!$A:$E,'1 b felosztások'!C$2,0)*-$AB172,0)</f>
        <v>0</v>
      </c>
      <c r="O172" s="150">
        <f>IFERROR(VLOOKUP($M172,'1 b felosztások'!$A:$E,'1 b felosztások'!D$2,0)*-$AB172,0)</f>
        <v>0</v>
      </c>
      <c r="P172" s="150">
        <f>IFERROR(VLOOKUP($M172,'1 b felosztások'!$A:$E,'1 b felosztások'!E$2,0)*-$AB172,0)</f>
        <v>0</v>
      </c>
      <c r="Q172" s="150">
        <f>IFERROR(VLOOKUP($M172,'1 b felosztások'!$A:$E,'1 b felosztások'!F$2,0)*-$AB172,0)</f>
        <v>0</v>
      </c>
      <c r="R172" s="150">
        <f>IFERROR(VLOOKUP($M172,'1 b felosztások'!$A:$E,'1 b felosztások'!G$2,0)*-$AB172,0)</f>
        <v>0</v>
      </c>
      <c r="S172" s="150">
        <f>IFERROR(VLOOKUP($M172,'1 b felosztások'!$A:$E,'1 b felosztások'!H$2,0)*-$AB172,0)</f>
        <v>0</v>
      </c>
      <c r="T172" s="150">
        <f>IFERROR(VLOOKUP($M172,'1 b felosztások'!$A:$E,'1 b felosztások'!I$2,0)*-$AB172,0)</f>
        <v>0</v>
      </c>
      <c r="U172" s="150">
        <f>IFERROR(VLOOKUP($M172,'1 b felosztások'!$A:$E,'1 b felosztások'!J$2,0)*-$AB172,0)</f>
        <v>0</v>
      </c>
      <c r="V172" s="150">
        <f>IFERROR(VLOOKUP($M172,'1 b felosztások'!$A:$E,'1 b felosztások'!K$2,0)*-$AB172,0)</f>
        <v>0</v>
      </c>
      <c r="W172" s="150">
        <f>IFERROR(VLOOKUP($M172,'1 b felosztások'!$A:$E,'1 b felosztások'!L$2,0)*-$AB172,0)</f>
        <v>0</v>
      </c>
      <c r="X172" s="150">
        <f>IFERROR(VLOOKUP($M172,'1 b felosztások'!$A:$E,'1 b felosztások'!M$2,0)*-$AB172,0)</f>
        <v>0</v>
      </c>
      <c r="Y172" s="150">
        <f>IFERROR(VLOOKUP($M172,'1 b felosztások'!$A:$E,'1 b felosztások'!N$2,0)*-$AB172,0)</f>
        <v>0</v>
      </c>
      <c r="Z172" s="150">
        <f>IFERROR(VLOOKUP($M172,'1 b felosztások'!$A:$E,'1 b felosztások'!C$2,0)*-$AB172,0)</f>
        <v>0</v>
      </c>
      <c r="AA172" s="150">
        <f>IFERROR(VLOOKUP($M172,'1 b felosztások'!$A:$E,'1 b felosztások'!D$2,0)*-$AB172,0)</f>
        <v>0</v>
      </c>
      <c r="AB172" s="179"/>
      <c r="AC172" s="150"/>
      <c r="AD172" s="150"/>
      <c r="AE172" s="150"/>
      <c r="AF172" s="150"/>
      <c r="AG172" s="150"/>
      <c r="AH172" s="150"/>
      <c r="AI172" s="150"/>
      <c r="AJ172" s="150"/>
      <c r="AK172" s="150"/>
      <c r="AL172" s="150"/>
      <c r="AM172" s="150"/>
      <c r="AN172" s="150"/>
      <c r="AO172" s="150"/>
      <c r="AP172" s="174"/>
      <c r="AQ172" s="174"/>
      <c r="AR172" s="174"/>
      <c r="AS172" s="174"/>
      <c r="AT172" s="174"/>
      <c r="AU172" s="174"/>
      <c r="AV172" s="174"/>
      <c r="AW172" s="174"/>
      <c r="AX172" s="174"/>
      <c r="AY172" s="174"/>
      <c r="AZ172" s="174"/>
      <c r="BA172" s="174"/>
      <c r="BB172" s="174"/>
      <c r="BC172" s="170"/>
      <c r="BD172" s="170"/>
      <c r="BE172" s="170"/>
      <c r="BF172" s="170"/>
      <c r="BG172" s="170"/>
      <c r="BH172" s="170"/>
      <c r="BI172" s="170"/>
      <c r="BJ172" s="170"/>
      <c r="BK172" s="167">
        <f t="shared" si="114"/>
        <v>0</v>
      </c>
      <c r="BL172" s="167">
        <f t="shared" si="115"/>
        <v>0</v>
      </c>
      <c r="BM172" s="167">
        <f t="shared" si="116"/>
        <v>0</v>
      </c>
      <c r="BN172" s="167">
        <f t="shared" si="117"/>
        <v>0</v>
      </c>
    </row>
    <row r="173" spans="1:66" s="171" customFormat="1" hidden="1" outlineLevel="2" x14ac:dyDescent="0.3">
      <c r="A173" s="186"/>
      <c r="B173" s="186" t="s">
        <v>2858</v>
      </c>
      <c r="C173" s="186" t="s">
        <v>63</v>
      </c>
      <c r="D173" s="186"/>
      <c r="E173" s="186" t="s">
        <v>2686</v>
      </c>
      <c r="F173" s="186" t="s">
        <v>63</v>
      </c>
      <c r="G173" s="186">
        <v>333</v>
      </c>
      <c r="H173" s="186" t="s">
        <v>680</v>
      </c>
      <c r="I173" s="150">
        <v>0</v>
      </c>
      <c r="J173" s="165">
        <f t="shared" si="122"/>
        <v>0</v>
      </c>
      <c r="K173" s="150">
        <f>+I173-J173</f>
        <v>0</v>
      </c>
      <c r="L173" s="150">
        <f t="shared" si="123"/>
        <v>0</v>
      </c>
      <c r="M173" s="191"/>
      <c r="N173" s="150">
        <f>IFERROR(VLOOKUP($M173,'1 b felosztások'!$A:$E,'1 b felosztások'!C$2,0)*-SUM(#REF!),0)</f>
        <v>0</v>
      </c>
      <c r="O173" s="150">
        <f>IFERROR(VLOOKUP($M173,'1 b felosztások'!$A:$E,'1 b felosztások'!D$2,0)*-SUM(#REF!),0)</f>
        <v>0</v>
      </c>
      <c r="P173" s="150">
        <f>IFERROR(VLOOKUP($M173,'1 b felosztások'!$A:$E,'1 b felosztások'!E$2,0)*-SUM(#REF!),0)</f>
        <v>0</v>
      </c>
      <c r="Q173" s="150">
        <f>IFERROR(VLOOKUP($M173,'1 b felosztások'!$A:$E,'1 b felosztások'!F$2,0)*-SUM(#REF!),0)</f>
        <v>0</v>
      </c>
      <c r="R173" s="150">
        <f>IFERROR(VLOOKUP($M173,'1 b felosztások'!$A:$E,'1 b felosztások'!G$2,0)*-SUM(#REF!),0)</f>
        <v>0</v>
      </c>
      <c r="S173" s="150">
        <f>IFERROR(VLOOKUP($M173,'1 b felosztások'!$A:$E,'1 b felosztások'!H$2,0)*-SUM(#REF!),0)</f>
        <v>0</v>
      </c>
      <c r="T173" s="150">
        <f>IFERROR(VLOOKUP($M173,'1 b felosztások'!$A:$E,'1 b felosztások'!I$2,0)*-SUM(#REF!),0)</f>
        <v>0</v>
      </c>
      <c r="U173" s="150">
        <f>IFERROR(VLOOKUP($M173,'1 b felosztások'!$A:$E,'1 b felosztások'!J$2,0)*-SUM(#REF!),0)</f>
        <v>0</v>
      </c>
      <c r="V173" s="150">
        <f>IFERROR(VLOOKUP($M173,'1 b felosztások'!$A:$E,'1 b felosztások'!K$2,0)*-SUM(#REF!),0)</f>
        <v>0</v>
      </c>
      <c r="W173" s="150">
        <f>IFERROR(VLOOKUP($M173,'1 b felosztások'!$A:$E,'1 b felosztások'!L$2,0)*-SUM(#REF!),0)</f>
        <v>0</v>
      </c>
      <c r="X173" s="150">
        <f>IFERROR(VLOOKUP($M173,'1 b felosztások'!$A:$E,'1 b felosztások'!M$2,0)*-SUM(#REF!),0)</f>
        <v>0</v>
      </c>
      <c r="Y173" s="150">
        <f>IFERROR(VLOOKUP($M173,'1 b felosztások'!$A:$E,'1 b felosztások'!N$2,0)*-SUM(#REF!),0)</f>
        <v>0</v>
      </c>
      <c r="Z173" s="150">
        <f>IFERROR(VLOOKUP($M173,'1 b felosztások'!$A:$E,'1 b felosztások'!C$2,0)*-SUM(#REF!),0)</f>
        <v>0</v>
      </c>
      <c r="AA173" s="150">
        <f>IFERROR(VLOOKUP($M173,'1 b felosztások'!$A:$E,'1 b felosztások'!D$2,0)*-SUM(#REF!),0)</f>
        <v>0</v>
      </c>
      <c r="AB173" s="150"/>
      <c r="AC173" s="150"/>
      <c r="AD173" s="150"/>
      <c r="AE173" s="150"/>
      <c r="AF173" s="150"/>
      <c r="AG173" s="150"/>
      <c r="AH173" s="150"/>
      <c r="AI173" s="150"/>
      <c r="AJ173" s="150"/>
      <c r="AK173" s="150"/>
      <c r="AL173" s="150"/>
      <c r="AM173" s="150"/>
      <c r="AN173" s="150"/>
      <c r="AO173" s="150"/>
      <c r="AP173" s="174"/>
      <c r="AQ173" s="174"/>
      <c r="AR173" s="174"/>
      <c r="AS173" s="174"/>
      <c r="AT173" s="174"/>
      <c r="AU173" s="174"/>
      <c r="AV173" s="174"/>
      <c r="AW173" s="174"/>
      <c r="AX173" s="174"/>
      <c r="AY173" s="174"/>
      <c r="AZ173" s="174"/>
      <c r="BA173" s="174"/>
      <c r="BB173" s="174"/>
      <c r="BC173" s="170"/>
      <c r="BD173" s="170"/>
      <c r="BE173" s="170"/>
      <c r="BF173" s="170"/>
      <c r="BG173" s="170"/>
      <c r="BH173" s="170"/>
      <c r="BI173" s="170"/>
      <c r="BJ173" s="170"/>
      <c r="BK173" s="167">
        <f t="shared" si="114"/>
        <v>0</v>
      </c>
      <c r="BL173" s="167">
        <f t="shared" si="115"/>
        <v>0</v>
      </c>
      <c r="BM173" s="167">
        <f t="shared" si="116"/>
        <v>0</v>
      </c>
      <c r="BN173" s="167">
        <f t="shared" si="117"/>
        <v>0</v>
      </c>
    </row>
    <row r="174" spans="1:66" s="171" customFormat="1" hidden="1" outlineLevel="2" x14ac:dyDescent="0.3">
      <c r="A174" s="186"/>
      <c r="B174" s="186" t="s">
        <v>2586</v>
      </c>
      <c r="C174" s="186" t="s">
        <v>63</v>
      </c>
      <c r="D174" s="186" t="s">
        <v>3272</v>
      </c>
      <c r="E174" s="186" t="s">
        <v>2586</v>
      </c>
      <c r="F174" s="186" t="s">
        <v>63</v>
      </c>
      <c r="G174" s="186">
        <v>349</v>
      </c>
      <c r="H174" s="186" t="s">
        <v>706</v>
      </c>
      <c r="I174" s="150">
        <f>VLOOKUP($I$1,'3.a'!B:V,15,0)</f>
        <v>3179246.5390269402</v>
      </c>
      <c r="J174" s="165">
        <f t="shared" si="122"/>
        <v>3179246.5390269402</v>
      </c>
      <c r="K174" s="150">
        <f t="shared" si="49"/>
        <v>0</v>
      </c>
      <c r="L174" s="150">
        <f t="shared" si="123"/>
        <v>0</v>
      </c>
      <c r="M174" s="166" t="s">
        <v>1341</v>
      </c>
      <c r="N174" s="150">
        <f>IFERROR(VLOOKUP(N$1,'22.b3'!$D:$H,4,0),0)</f>
        <v>0</v>
      </c>
      <c r="O174" s="150">
        <f>IFERROR(VLOOKUP(O$1,'22.b3'!$D:$H,4,0),0)</f>
        <v>0</v>
      </c>
      <c r="P174" s="150">
        <f>IFERROR(VLOOKUP(P$1,'22.b3'!$D:$H,4,0),0)</f>
        <v>0</v>
      </c>
      <c r="Q174" s="150">
        <f>IFERROR(VLOOKUP(Q$1,'22.b3'!$D:$H,4,0),0)</f>
        <v>520240.34274986299</v>
      </c>
      <c r="R174" s="150">
        <f>IFERROR(VLOOKUP(R$1,'22.b3'!$D:$H,4,0),0)</f>
        <v>693653.79033315065</v>
      </c>
      <c r="S174" s="150">
        <f>IFERROR(VLOOKUP(S$1,'22.b3'!$D:$H,4,0),0)</f>
        <v>0</v>
      </c>
      <c r="T174" s="150">
        <f>IFERROR(VLOOKUP(T$1,'22.b3'!$D:$H,4,0),0)</f>
        <v>0</v>
      </c>
      <c r="U174" s="150">
        <f>IFERROR(VLOOKUP(U$1,'22.b3'!$D:$H,4,0),0)</f>
        <v>1560721.028249589</v>
      </c>
      <c r="V174" s="150">
        <f>IFERROR(VLOOKUP(V$1,'22.b3'!$D:$H,4,0),0)</f>
        <v>0</v>
      </c>
      <c r="W174" s="150">
        <f>IFERROR(VLOOKUP(W$1,'22.b3'!$D:$H,4,0),0)</f>
        <v>173413.44758328766</v>
      </c>
      <c r="X174" s="150">
        <f>IFERROR(VLOOKUP(X$1,'22.b3'!$D:$H,4,0),0)</f>
        <v>0</v>
      </c>
      <c r="Y174" s="150">
        <f>IFERROR(VLOOKUP(Y$1,'22.b3'!$D:$H,4,0),0)</f>
        <v>0</v>
      </c>
      <c r="Z174" s="150">
        <f>IFERROR(VLOOKUP(Z$1,'22.b3'!$D:$H,4,0),0)</f>
        <v>0</v>
      </c>
      <c r="AA174" s="150">
        <f>IFERROR(VLOOKUP(AA$1,'22.b3'!$D:$H,4,0),0)</f>
        <v>0</v>
      </c>
      <c r="AB174" s="150"/>
      <c r="AC174" s="150">
        <f>IFERROR(VLOOKUP($I$1,'22.b3'!$C:$H,5,0),0)</f>
        <v>231217.93011105023</v>
      </c>
      <c r="AD174" s="150"/>
      <c r="AE174" s="150"/>
      <c r="AF174" s="150"/>
      <c r="AG174" s="150"/>
      <c r="AH174" s="150"/>
      <c r="AI174" s="150"/>
      <c r="AJ174" s="150"/>
      <c r="AK174" s="150"/>
      <c r="AL174" s="150"/>
      <c r="AM174" s="150"/>
      <c r="AN174" s="150"/>
      <c r="AO174" s="150"/>
      <c r="AP174" s="174"/>
      <c r="AQ174" s="174"/>
      <c r="AR174" s="174"/>
      <c r="AS174" s="174"/>
      <c r="AT174" s="174"/>
      <c r="AU174" s="174"/>
      <c r="AV174" s="174"/>
      <c r="AW174" s="174"/>
      <c r="AX174" s="174"/>
      <c r="AY174" s="174"/>
      <c r="AZ174" s="174"/>
      <c r="BA174" s="174"/>
      <c r="BB174" s="174"/>
      <c r="BC174" s="170"/>
      <c r="BD174" s="170"/>
      <c r="BE174" s="170">
        <f>-I174</f>
        <v>-3179246.5390269402</v>
      </c>
      <c r="BF174" s="170"/>
      <c r="BG174" s="170"/>
      <c r="BH174" s="170"/>
      <c r="BI174" s="170"/>
      <c r="BJ174" s="170"/>
      <c r="BK174" s="167">
        <f t="shared" si="114"/>
        <v>2948028.6089158901</v>
      </c>
      <c r="BL174" s="167">
        <f>+AC174</f>
        <v>231217.93011105023</v>
      </c>
      <c r="BM174" s="167">
        <f>+SUM(AC174:AO174)</f>
        <v>231217.93011105023</v>
      </c>
      <c r="BN174" s="167">
        <f t="shared" si="117"/>
        <v>-3179246.5390269402</v>
      </c>
    </row>
    <row r="175" spans="1:66" s="171" customFormat="1" hidden="1" outlineLevel="2" x14ac:dyDescent="0.3">
      <c r="A175" s="186"/>
      <c r="B175" s="186" t="s">
        <v>2586</v>
      </c>
      <c r="C175" s="186" t="s">
        <v>63</v>
      </c>
      <c r="D175" s="186" t="s">
        <v>3272</v>
      </c>
      <c r="E175" s="186" t="s">
        <v>2587</v>
      </c>
      <c r="F175" s="186" t="s">
        <v>63</v>
      </c>
      <c r="G175" s="186">
        <v>349</v>
      </c>
      <c r="H175" s="186" t="s">
        <v>706</v>
      </c>
      <c r="I175" s="150">
        <v>0</v>
      </c>
      <c r="J175" s="165">
        <f t="shared" si="122"/>
        <v>6.988894977257587E-2</v>
      </c>
      <c r="K175" s="150">
        <f t="shared" si="49"/>
        <v>-6.988894977257587E-2</v>
      </c>
      <c r="L175" s="150">
        <f t="shared" si="123"/>
        <v>6.988894977257587E-2</v>
      </c>
      <c r="M175" s="728"/>
      <c r="N175" s="150">
        <v>231218</v>
      </c>
      <c r="O175" s="150">
        <f>IFERROR(VLOOKUP($M175,'1 b felosztások'!$A:$AE,'1 b felosztások'!D$2,0)*-$AC175,0)</f>
        <v>0</v>
      </c>
      <c r="P175" s="150">
        <f>IFERROR(VLOOKUP($M175,'1 b felosztások'!$A:$AE,'1 b felosztások'!E$2,0)*-$AC175,0)</f>
        <v>0</v>
      </c>
      <c r="Q175" s="150">
        <f>IFERROR(VLOOKUP($M175,'1 b felosztások'!$A:$AE,'1 b felosztások'!F$2,0)*-$AC175,0)</f>
        <v>0</v>
      </c>
      <c r="R175" s="150">
        <f>IFERROR(VLOOKUP($M175,'1 b felosztások'!$A:$AE,'1 b felosztások'!G$2,0)*-$AC175,0)</f>
        <v>0</v>
      </c>
      <c r="S175" s="150">
        <f>IFERROR(VLOOKUP($M175,'1 b felosztások'!$A:$AE,'1 b felosztások'!H$2,0)*-$AC175,0)</f>
        <v>0</v>
      </c>
      <c r="T175" s="150">
        <f>IFERROR(VLOOKUP($M175,'1 b felosztások'!$A:$AE,'1 b felosztások'!I$2,0)*-$AC175,0)</f>
        <v>0</v>
      </c>
      <c r="U175" s="150">
        <f>IFERROR(VLOOKUP($M175,'1 b felosztások'!$A:$AE,'1 b felosztások'!J$2,0)*-$AC175,0)</f>
        <v>0</v>
      </c>
      <c r="V175" s="150">
        <f>IFERROR(VLOOKUP($M175,'1 b felosztások'!$A:$AE,'1 b felosztások'!K$2,0)*-$AC175,0)</f>
        <v>0</v>
      </c>
      <c r="W175" s="150">
        <f>IFERROR(VLOOKUP($M175,'1 b felosztások'!$A:$AE,'1 b felosztások'!L$2,0)*-$AC175,0)</f>
        <v>0</v>
      </c>
      <c r="X175" s="150">
        <f>IFERROR(VLOOKUP($M175,'1 b felosztások'!$A:$AE,'1 b felosztások'!M$2,0)*-$AC175,0)</f>
        <v>0</v>
      </c>
      <c r="Y175" s="150">
        <f>IFERROR(VLOOKUP($M175,'1 b felosztások'!$A:$AE,'1 b felosztások'!N$2,0)*-$AC175,0)</f>
        <v>0</v>
      </c>
      <c r="Z175" s="150">
        <f>IFERROR(VLOOKUP($M175,'1 b felosztások'!$A:$AE,'1 b felosztások'!O$2,0)*-$AC175,0)</f>
        <v>0</v>
      </c>
      <c r="AA175" s="150">
        <f>IFERROR(VLOOKUP($M175,'1 b felosztások'!$A:$AE,'1 b felosztások'!P$2,0)*-$AC175,0)</f>
        <v>0</v>
      </c>
      <c r="AB175" s="150"/>
      <c r="AC175" s="150">
        <f>-AC174</f>
        <v>-231217.93011105023</v>
      </c>
      <c r="AD175" s="150"/>
      <c r="AE175" s="150"/>
      <c r="AF175" s="150"/>
      <c r="AG175" s="150"/>
      <c r="AH175" s="150"/>
      <c r="AI175" s="150"/>
      <c r="AJ175" s="150"/>
      <c r="AK175" s="150"/>
      <c r="AL175" s="150"/>
      <c r="AM175" s="150"/>
      <c r="AN175" s="150"/>
      <c r="AO175" s="150"/>
      <c r="AP175" s="174"/>
      <c r="AQ175" s="174"/>
      <c r="AR175" s="174"/>
      <c r="AS175" s="174"/>
      <c r="AT175" s="174"/>
      <c r="AU175" s="174"/>
      <c r="AV175" s="174"/>
      <c r="AW175" s="174"/>
      <c r="AX175" s="174"/>
      <c r="AY175" s="174"/>
      <c r="AZ175" s="174"/>
      <c r="BA175" s="174"/>
      <c r="BB175" s="174"/>
      <c r="BC175" s="170"/>
      <c r="BD175" s="170"/>
      <c r="BE175" s="170"/>
      <c r="BF175" s="170"/>
      <c r="BG175" s="170"/>
      <c r="BH175" s="170"/>
      <c r="BI175" s="170"/>
      <c r="BJ175" s="170"/>
      <c r="BK175" s="167">
        <f t="shared" si="114"/>
        <v>231218</v>
      </c>
      <c r="BL175" s="167">
        <f>+AC175</f>
        <v>-231217.93011105023</v>
      </c>
      <c r="BM175" s="167">
        <f>+SUM(AC175:AO175)</f>
        <v>-231217.93011105023</v>
      </c>
      <c r="BN175" s="167">
        <f t="shared" si="117"/>
        <v>0</v>
      </c>
    </row>
    <row r="176" spans="1:66" s="171" customFormat="1" hidden="1" outlineLevel="2" x14ac:dyDescent="0.3">
      <c r="A176" s="186"/>
      <c r="B176" s="186" t="s">
        <v>2586</v>
      </c>
      <c r="C176" s="186" t="s">
        <v>63</v>
      </c>
      <c r="D176" s="186" t="s">
        <v>3272</v>
      </c>
      <c r="E176" s="186" t="s">
        <v>2670</v>
      </c>
      <c r="F176" s="186" t="s">
        <v>63</v>
      </c>
      <c r="G176" s="186">
        <v>349</v>
      </c>
      <c r="H176" s="186" t="s">
        <v>706</v>
      </c>
      <c r="I176" s="150">
        <v>0</v>
      </c>
      <c r="J176" s="165">
        <f t="shared" si="122"/>
        <v>0</v>
      </c>
      <c r="K176" s="150">
        <f>+I176-J176</f>
        <v>0</v>
      </c>
      <c r="L176" s="150">
        <f t="shared" si="123"/>
        <v>0</v>
      </c>
      <c r="M176" s="173"/>
      <c r="N176" s="150">
        <f>IFERROR(VLOOKUP($M176,'1 b felosztások'!$A:$E,'1 b felosztások'!C$2,0)*-SUM(#REF!),0)</f>
        <v>0</v>
      </c>
      <c r="O176" s="150">
        <f>IFERROR(VLOOKUP($M176,'1 b felosztások'!$A:$E,'1 b felosztások'!D$2,0)*-SUM(#REF!),0)</f>
        <v>0</v>
      </c>
      <c r="P176" s="150">
        <f>IFERROR(VLOOKUP($M176,'1 b felosztások'!$A:$E,'1 b felosztások'!E$2,0)*-SUM(#REF!),0)</f>
        <v>0</v>
      </c>
      <c r="Q176" s="150">
        <f>IFERROR(VLOOKUP($M176,'1 b felosztások'!$A:$E,'1 b felosztások'!F$2,0)*-SUM(#REF!),0)</f>
        <v>0</v>
      </c>
      <c r="R176" s="150">
        <f>IFERROR(VLOOKUP($M176,'1 b felosztások'!$A:$E,'1 b felosztások'!G$2,0)*-SUM(#REF!),0)</f>
        <v>0</v>
      </c>
      <c r="S176" s="150">
        <f>IFERROR(VLOOKUP($M176,'1 b felosztások'!$A:$E,'1 b felosztások'!H$2,0)*-SUM(#REF!),0)</f>
        <v>0</v>
      </c>
      <c r="T176" s="150">
        <f>IFERROR(VLOOKUP($M176,'1 b felosztások'!$A:$E,'1 b felosztások'!I$2,0)*-SUM(#REF!),0)</f>
        <v>0</v>
      </c>
      <c r="U176" s="150">
        <f>IFERROR(VLOOKUP($M176,'1 b felosztások'!$A:$E,'1 b felosztások'!J$2,0)*-SUM(#REF!),0)</f>
        <v>0</v>
      </c>
      <c r="V176" s="150">
        <f>IFERROR(VLOOKUP($M176,'1 b felosztások'!$A:$E,'1 b felosztások'!K$2,0)*-SUM(#REF!),0)</f>
        <v>0</v>
      </c>
      <c r="W176" s="150">
        <f>IFERROR(VLOOKUP($M176,'1 b felosztások'!$A:$E,'1 b felosztások'!L$2,0)*-SUM(#REF!),0)</f>
        <v>0</v>
      </c>
      <c r="X176" s="150">
        <f>IFERROR(VLOOKUP($M176,'1 b felosztások'!$A:$E,'1 b felosztások'!M$2,0)*-SUM(#REF!),0)</f>
        <v>0</v>
      </c>
      <c r="Y176" s="150">
        <f>IFERROR(VLOOKUP($M176,'1 b felosztások'!$A:$E,'1 b felosztások'!N$2,0)*-SUM(#REF!),0)</f>
        <v>0</v>
      </c>
      <c r="Z176" s="150">
        <f>IFERROR(VLOOKUP($M176,'1 b felosztások'!$A:$E,'1 b felosztások'!C$2,0)*-SUM(#REF!),0)</f>
        <v>0</v>
      </c>
      <c r="AA176" s="150">
        <f>IFERROR(VLOOKUP($M176,'1 b felosztások'!$A:$E,'1 b felosztások'!D$2,0)*-SUM(#REF!),0)</f>
        <v>0</v>
      </c>
      <c r="AB176" s="150"/>
      <c r="AC176" s="150"/>
      <c r="AD176" s="150"/>
      <c r="AE176" s="150"/>
      <c r="AF176" s="150"/>
      <c r="AG176" s="150"/>
      <c r="AH176" s="150"/>
      <c r="AI176" s="150"/>
      <c r="AJ176" s="150"/>
      <c r="AK176" s="150"/>
      <c r="AL176" s="150"/>
      <c r="AM176" s="150"/>
      <c r="AN176" s="150"/>
      <c r="AO176" s="150"/>
      <c r="AP176" s="174"/>
      <c r="AQ176" s="174"/>
      <c r="AR176" s="174"/>
      <c r="AS176" s="174"/>
      <c r="AT176" s="174"/>
      <c r="AU176" s="174"/>
      <c r="AV176" s="174"/>
      <c r="AW176" s="174"/>
      <c r="AX176" s="174"/>
      <c r="AY176" s="174"/>
      <c r="AZ176" s="174"/>
      <c r="BA176" s="174"/>
      <c r="BB176" s="174"/>
      <c r="BC176" s="170"/>
      <c r="BD176" s="170"/>
      <c r="BE176" s="170"/>
      <c r="BF176" s="170"/>
      <c r="BG176" s="170"/>
      <c r="BH176" s="170"/>
      <c r="BI176" s="170"/>
      <c r="BJ176" s="170"/>
      <c r="BK176" s="167">
        <f t="shared" si="114"/>
        <v>0</v>
      </c>
      <c r="BL176" s="167">
        <f t="shared" si="115"/>
        <v>0</v>
      </c>
      <c r="BM176" s="167">
        <f t="shared" si="116"/>
        <v>0</v>
      </c>
      <c r="BN176" s="167">
        <f t="shared" si="117"/>
        <v>0</v>
      </c>
    </row>
    <row r="177" spans="1:66" s="171" customFormat="1" hidden="1" outlineLevel="1" x14ac:dyDescent="0.3">
      <c r="A177" s="164">
        <v>40</v>
      </c>
      <c r="B177" s="164" t="s">
        <v>3254</v>
      </c>
      <c r="C177" s="164" t="s">
        <v>63</v>
      </c>
      <c r="D177" s="164" t="s">
        <v>2833</v>
      </c>
      <c r="E177" s="164" t="str">
        <f>VLOOKUP(A177,'Bevétel 2a SZH 2023'!B:C,2,0)</f>
        <v>Stipendium Hungaricum szervezési keret 2023 - 2022 évi tény 85%-a</v>
      </c>
      <c r="F177" s="164" t="s">
        <v>2696</v>
      </c>
      <c r="G177" s="164">
        <v>327</v>
      </c>
      <c r="H177" s="169" t="s">
        <v>669</v>
      </c>
      <c r="I177" s="165">
        <f>IFERROR(VLOOKUP($A177,'Bevétel 2a SZH 2023'!$B:$L,MATCH($I$1,'Bevétel 2a SZH 2023'!$B$1:$L$1,0),0), )</f>
        <v>0</v>
      </c>
      <c r="J177" s="165">
        <f t="shared" si="122"/>
        <v>0</v>
      </c>
      <c r="K177" s="150">
        <f t="shared" si="49"/>
        <v>0</v>
      </c>
      <c r="L177" s="150">
        <f t="shared" si="123"/>
        <v>0</v>
      </c>
      <c r="M177" s="175"/>
      <c r="N177" s="150">
        <f>IFERROR(VLOOKUP($M177,'1 b felosztások'!$A:$E,'1 b felosztások'!C$2,0)*$I177,0)</f>
        <v>0</v>
      </c>
      <c r="O177" s="150">
        <f>IFERROR(VLOOKUP($M177,'1 b felosztások'!$A:$E,'1 b felosztások'!D$2,0)*$I177,0)</f>
        <v>0</v>
      </c>
      <c r="P177" s="150">
        <f>IFERROR(VLOOKUP($M177,'1 b felosztások'!$A:$E,'1 b felosztások'!E$2,0)*$I177,0)</f>
        <v>0</v>
      </c>
      <c r="Q177" s="150">
        <f>IFERROR(VLOOKUP($M177,'1 b felosztások'!$A:$E,'1 b felosztások'!F$2,0)*$I177,0)</f>
        <v>0</v>
      </c>
      <c r="R177" s="150">
        <f>IFERROR(VLOOKUP($M177,'1 b felosztások'!$A:$E,'1 b felosztások'!G$2,0)*$I177,0)</f>
        <v>0</v>
      </c>
      <c r="S177" s="150">
        <f>IFERROR(VLOOKUP($M177,'1 b felosztások'!$A:$E,'1 b felosztások'!H$2,0)*$I177,0)</f>
        <v>0</v>
      </c>
      <c r="T177" s="150">
        <f>IFERROR(VLOOKUP($M177,'1 b felosztások'!$A:$E,'1 b felosztások'!I$2,0)*$I177,0)</f>
        <v>0</v>
      </c>
      <c r="U177" s="150">
        <f>IFERROR(VLOOKUP($M177,'1 b felosztások'!$A:$E,'1 b felosztások'!J$2,0)*$I177,0)</f>
        <v>0</v>
      </c>
      <c r="V177" s="150">
        <f>IFERROR(VLOOKUP($M177,'1 b felosztások'!$A:$E,'1 b felosztások'!K$2,0)*$I177,0)</f>
        <v>0</v>
      </c>
      <c r="W177" s="150">
        <f>IFERROR(VLOOKUP($M177,'1 b felosztások'!$A:$E,'1 b felosztások'!L$2,0)*$I177,0)</f>
        <v>0</v>
      </c>
      <c r="X177" s="150">
        <f>IFERROR(VLOOKUP($M177,'1 b felosztások'!$A:$E,'1 b felosztások'!M$2,0)*$I177,0)</f>
        <v>0</v>
      </c>
      <c r="Y177" s="150">
        <f>IFERROR(VLOOKUP($M177,'1 b felosztások'!$A:$E,'1 b felosztások'!N$2,0)*$I177,0)</f>
        <v>0</v>
      </c>
      <c r="Z177" s="150">
        <f>IFERROR(VLOOKUP($M177,'1 b felosztások'!$A:$E,'1 b felosztások'!C$2,0)*$I177,0)</f>
        <v>0</v>
      </c>
      <c r="AA177" s="150">
        <f>IFERROR(VLOOKUP($M177,'1 b felosztások'!$A:$E,'1 b felosztások'!D$2,0)*$I177,0)</f>
        <v>0</v>
      </c>
      <c r="AB177" s="150">
        <f>IFERROR(VLOOKUP($M177,'1 b felosztások'!$A:$E,'1 b felosztások'!#REF!,0)*$I177,0)</f>
        <v>0</v>
      </c>
      <c r="AC177" s="165"/>
      <c r="AD177" s="165"/>
      <c r="AE177" s="165"/>
      <c r="AF177" s="165"/>
      <c r="AG177" s="165"/>
      <c r="AH177" s="165"/>
      <c r="AI177" s="165"/>
      <c r="AJ177" s="165"/>
      <c r="AK177" s="165"/>
      <c r="AL177" s="165"/>
      <c r="AM177" s="165"/>
      <c r="AN177" s="165"/>
      <c r="AO177" s="165"/>
      <c r="AP177" s="150"/>
      <c r="AQ177" s="150"/>
      <c r="AR177" s="150"/>
      <c r="AS177" s="150"/>
      <c r="AT177" s="150"/>
      <c r="AU177" s="150"/>
      <c r="AV177" s="150"/>
      <c r="AW177" s="150"/>
      <c r="AX177" s="150"/>
      <c r="AY177" s="150"/>
      <c r="AZ177" s="150"/>
      <c r="BA177" s="150"/>
      <c r="BB177" s="150"/>
      <c r="BC177" s="170"/>
      <c r="BD177" s="170"/>
      <c r="BE177" s="170"/>
      <c r="BF177" s="170"/>
      <c r="BG177" s="170">
        <f>-I177</f>
        <v>0</v>
      </c>
      <c r="BH177" s="170"/>
      <c r="BI177" s="170"/>
      <c r="BJ177" s="170"/>
      <c r="BK177" s="167">
        <f t="shared" si="114"/>
        <v>0</v>
      </c>
      <c r="BL177" s="167">
        <f t="shared" si="115"/>
        <v>0</v>
      </c>
      <c r="BM177" s="167">
        <f t="shared" si="116"/>
        <v>0</v>
      </c>
      <c r="BN177" s="167">
        <f t="shared" si="117"/>
        <v>0</v>
      </c>
    </row>
    <row r="178" spans="1:66" s="171" customFormat="1" hidden="1" outlineLevel="1" x14ac:dyDescent="0.3">
      <c r="A178" s="164"/>
      <c r="B178" s="164" t="s">
        <v>3830</v>
      </c>
      <c r="C178" s="164" t="s">
        <v>63</v>
      </c>
      <c r="D178" s="164" t="s">
        <v>3831</v>
      </c>
      <c r="E178" s="164" t="s">
        <v>3830</v>
      </c>
      <c r="F178" s="164" t="s">
        <v>2696</v>
      </c>
      <c r="G178" s="164">
        <v>322</v>
      </c>
      <c r="H178" s="164" t="s">
        <v>659</v>
      </c>
      <c r="I178" s="165">
        <f>VLOOKUP($I$1,'7.'!$A:$Y,13,0)</f>
        <v>26813048.564696051</v>
      </c>
      <c r="J178" s="165">
        <f t="shared" si="122"/>
        <v>26813048</v>
      </c>
      <c r="K178" s="150"/>
      <c r="L178" s="150"/>
      <c r="M178" s="166" t="s">
        <v>3832</v>
      </c>
      <c r="N178" s="150"/>
      <c r="O178" s="150"/>
      <c r="P178" s="150"/>
      <c r="Q178" s="150"/>
      <c r="R178" s="150"/>
      <c r="S178" s="150"/>
      <c r="T178" s="150"/>
      <c r="U178" s="150"/>
      <c r="V178" s="150"/>
      <c r="W178" s="150"/>
      <c r="X178" s="150"/>
      <c r="Y178" s="150"/>
      <c r="Z178" s="150"/>
      <c r="AA178" s="150"/>
      <c r="AB178" s="150"/>
      <c r="AC178" s="165"/>
      <c r="AD178" s="165"/>
      <c r="AE178" s="165"/>
      <c r="AF178" s="165"/>
      <c r="AG178" s="165"/>
      <c r="AH178" s="165"/>
      <c r="AI178" s="165"/>
      <c r="AJ178" s="165"/>
      <c r="AK178" s="165"/>
      <c r="AL178" s="165"/>
      <c r="AM178" s="165">
        <v>104614</v>
      </c>
      <c r="AN178" s="165">
        <v>868224</v>
      </c>
      <c r="AO178" s="165">
        <v>25840210</v>
      </c>
      <c r="AP178" s="150"/>
      <c r="AQ178" s="150"/>
      <c r="AR178" s="150"/>
      <c r="AS178" s="150"/>
      <c r="AT178" s="150"/>
      <c r="AU178" s="150"/>
      <c r="AV178" s="150"/>
      <c r="AW178" s="150"/>
      <c r="AX178" s="150"/>
      <c r="AY178" s="150"/>
      <c r="AZ178" s="150"/>
      <c r="BA178" s="150"/>
      <c r="BB178" s="150"/>
      <c r="BC178" s="170"/>
      <c r="BD178" s="170"/>
      <c r="BE178" s="170"/>
      <c r="BF178" s="170"/>
      <c r="BG178" s="170"/>
      <c r="BH178" s="170"/>
      <c r="BI178" s="170"/>
      <c r="BJ178" s="170"/>
      <c r="BK178" s="167"/>
      <c r="BL178" s="167"/>
      <c r="BM178" s="167"/>
      <c r="BN178" s="167"/>
    </row>
    <row r="179" spans="1:66" s="171" customFormat="1" hidden="1" outlineLevel="1" collapsed="1" x14ac:dyDescent="0.3">
      <c r="A179" s="164">
        <v>41</v>
      </c>
      <c r="B179" s="164" t="s">
        <v>3889</v>
      </c>
      <c r="C179" s="164" t="s">
        <v>63</v>
      </c>
      <c r="D179" s="164" t="s">
        <v>2834</v>
      </c>
      <c r="E179" s="164" t="str">
        <f>VLOOKUP(A179,'Bevétel 2a SZH 2023'!B:C,2,0)</f>
        <v>Szombathelyi működésre ÁKTH elvonás nem ittlévő bevételekből -19,5 %</v>
      </c>
      <c r="F179" s="164"/>
      <c r="G179" s="169"/>
      <c r="H179" s="164" t="s">
        <v>2617</v>
      </c>
      <c r="I179" s="165">
        <f>IFERROR(VLOOKUP($A179,'Bevétel 2a SZH 2023'!$B:$L,MATCH($I$1,'Bevétel 2a SZH 2023'!$B$1:$L$1,0),0), )</f>
        <v>-5756941.860737876</v>
      </c>
      <c r="J179" s="165">
        <f t="shared" si="122"/>
        <v>-5756941.8590746224</v>
      </c>
      <c r="K179" s="150">
        <f t="shared" si="49"/>
        <v>-1.6632536426186562E-3</v>
      </c>
      <c r="L179" s="150">
        <f t="shared" ref="L179:L190" si="136">SUM(N179:BJ179)</f>
        <v>1.6632536426186562E-3</v>
      </c>
      <c r="M179" s="173"/>
      <c r="N179" s="165">
        <f>SUM(N180:N181)</f>
        <v>-1472592.7930555032</v>
      </c>
      <c r="O179" s="165">
        <f t="shared" ref="O179:AE179" si="137">SUM(O180:O181)</f>
        <v>-229389.8339909077</v>
      </c>
      <c r="P179" s="165">
        <f t="shared" si="137"/>
        <v>-39273.91649083449</v>
      </c>
      <c r="Q179" s="165">
        <f t="shared" si="137"/>
        <v>-382906.1777470425</v>
      </c>
      <c r="R179" s="165">
        <f t="shared" si="137"/>
        <v>-148349.48511038715</v>
      </c>
      <c r="S179" s="165">
        <f t="shared" si="137"/>
        <v>-482996.58173543343</v>
      </c>
      <c r="T179" s="165">
        <f t="shared" si="137"/>
        <v>-261872.06944322673</v>
      </c>
      <c r="U179" s="165">
        <f t="shared" si="137"/>
        <v>-658962.1628690341</v>
      </c>
      <c r="V179" s="165">
        <f t="shared" si="137"/>
        <v>-561241.09026711434</v>
      </c>
      <c r="W179" s="165">
        <f t="shared" si="137"/>
        <v>-314993.59425884794</v>
      </c>
      <c r="X179" s="165">
        <f t="shared" si="137"/>
        <v>-38286.117626651074</v>
      </c>
      <c r="Y179" s="165">
        <f t="shared" si="137"/>
        <v>-998088.57333350438</v>
      </c>
      <c r="Z179" s="165">
        <f t="shared" si="137"/>
        <v>-167185.92448425913</v>
      </c>
      <c r="AA179" s="165">
        <f t="shared" si="137"/>
        <v>0</v>
      </c>
      <c r="AB179" s="165">
        <f t="shared" si="137"/>
        <v>0</v>
      </c>
      <c r="AC179" s="165">
        <f t="shared" si="137"/>
        <v>-803.53866187591291</v>
      </c>
      <c r="AD179" s="165">
        <f t="shared" si="137"/>
        <v>0</v>
      </c>
      <c r="AE179" s="165">
        <f t="shared" si="137"/>
        <v>0</v>
      </c>
      <c r="AF179" s="165">
        <f t="shared" ref="AF179" si="138">SUM(AF180:AF181)</f>
        <v>0</v>
      </c>
      <c r="AG179" s="165">
        <f t="shared" ref="AG179" si="139">SUM(AG180:AG181)</f>
        <v>0</v>
      </c>
      <c r="AH179" s="165">
        <f t="shared" ref="AH179" si="140">SUM(AH180:AH181)</f>
        <v>0</v>
      </c>
      <c r="AI179" s="165">
        <f t="shared" ref="AI179" si="141">SUM(AI180:AI181)</f>
        <v>0</v>
      </c>
      <c r="AJ179" s="165">
        <f t="shared" ref="AJ179" si="142">SUM(AJ180:AJ181)</f>
        <v>0</v>
      </c>
      <c r="AK179" s="165">
        <f t="shared" ref="AK179" si="143">SUM(AK180:AK181)</f>
        <v>0</v>
      </c>
      <c r="AL179" s="165">
        <f t="shared" ref="AL179:AN179" si="144">SUM(AL180:AL181)</f>
        <v>0</v>
      </c>
      <c r="AM179" s="165">
        <f t="shared" si="144"/>
        <v>0</v>
      </c>
      <c r="AN179" s="165">
        <f t="shared" si="144"/>
        <v>0</v>
      </c>
      <c r="AO179" s="165">
        <f t="shared" ref="AO179" si="145">SUM(AO180:AO181)</f>
        <v>0</v>
      </c>
      <c r="AP179" s="165">
        <f t="shared" ref="AP179:BJ179" si="146">SUM(AP180:AP181)</f>
        <v>0</v>
      </c>
      <c r="AQ179" s="165"/>
      <c r="AR179" s="165">
        <f t="shared" si="146"/>
        <v>5756941.860737876</v>
      </c>
      <c r="AS179" s="165">
        <f t="shared" si="146"/>
        <v>0</v>
      </c>
      <c r="AT179" s="165">
        <f t="shared" si="146"/>
        <v>0</v>
      </c>
      <c r="AU179" s="165">
        <f t="shared" si="146"/>
        <v>0</v>
      </c>
      <c r="AV179" s="165">
        <f t="shared" si="146"/>
        <v>0</v>
      </c>
      <c r="AW179" s="165">
        <f t="shared" si="146"/>
        <v>0</v>
      </c>
      <c r="AX179" s="165">
        <f t="shared" si="146"/>
        <v>0</v>
      </c>
      <c r="AY179" s="165">
        <f t="shared" si="146"/>
        <v>0</v>
      </c>
      <c r="AZ179" s="165">
        <f t="shared" si="146"/>
        <v>0</v>
      </c>
      <c r="BA179" s="165">
        <f t="shared" si="146"/>
        <v>0</v>
      </c>
      <c r="BB179" s="165">
        <f t="shared" si="146"/>
        <v>0</v>
      </c>
      <c r="BC179" s="165">
        <f t="shared" si="146"/>
        <v>0</v>
      </c>
      <c r="BD179" s="165">
        <f t="shared" si="146"/>
        <v>0</v>
      </c>
      <c r="BE179" s="165">
        <f t="shared" si="146"/>
        <v>0</v>
      </c>
      <c r="BF179" s="165">
        <f t="shared" si="146"/>
        <v>0</v>
      </c>
      <c r="BG179" s="165">
        <f t="shared" si="146"/>
        <v>0</v>
      </c>
      <c r="BH179" s="165"/>
      <c r="BI179" s="165"/>
      <c r="BJ179" s="165">
        <f t="shared" si="146"/>
        <v>0</v>
      </c>
      <c r="BK179" s="167">
        <f t="shared" ref="BK179:BK190" si="147">+SUM(N179:AA179)</f>
        <v>-5756138.3204127466</v>
      </c>
      <c r="BL179" s="167">
        <f t="shared" ref="BL179:BL190" si="148">+AB179</f>
        <v>0</v>
      </c>
      <c r="BM179" s="167">
        <f t="shared" ref="BM179:BM190" si="149">+SUM(AC179:AO179)</f>
        <v>-803.53866187591291</v>
      </c>
      <c r="BN179" s="167">
        <f t="shared" ref="BN179:BN190" si="150">+SUM(AP179:BJ179)</f>
        <v>5756941.860737876</v>
      </c>
    </row>
    <row r="180" spans="1:66" s="171" customFormat="1" hidden="1" outlineLevel="2" x14ac:dyDescent="0.3">
      <c r="A180" s="192" t="s">
        <v>2736</v>
      </c>
      <c r="B180" s="169"/>
      <c r="C180" s="164"/>
      <c r="D180" s="164"/>
      <c r="E180" s="169" t="str">
        <f>VLOOKUP(A180,'Bevétel 2a SZH 2023'!B:C,2,0)</f>
        <v>Szombathelyi működésre ÁKTH elvonás nem ittlévő bevételekből -19,5 % TÁRGYÉVI FORRÁSBÓL</v>
      </c>
      <c r="F180" s="169" t="s">
        <v>2696</v>
      </c>
      <c r="G180" s="169">
        <v>332</v>
      </c>
      <c r="H180" s="169" t="s">
        <v>678</v>
      </c>
      <c r="I180" s="778">
        <f>IFERROR(VLOOKUP($A180,'Bevétel 2a SZH 2023'!$B:$L,MATCH($I$1,'Bevétel 2a SZH 2023'!$B$1:$L$1,0),0), )</f>
        <v>-6086011.8251849664</v>
      </c>
      <c r="J180" s="165">
        <f t="shared" si="122"/>
        <v>-6086011.8235217128</v>
      </c>
      <c r="K180" s="150">
        <f t="shared" ref="K180:K190" si="151">+I180-J180</f>
        <v>-1.6632536426186562E-3</v>
      </c>
      <c r="L180" s="150">
        <f t="shared" si="136"/>
        <v>1.6632536426186562E-3</v>
      </c>
      <c r="M180" s="173"/>
      <c r="N180" s="150">
        <f>-(N152+N153+N165+N156+N163+N164+N177+N155)*0.195</f>
        <v>-1472592.7930555032</v>
      </c>
      <c r="O180" s="150">
        <f t="shared" ref="O180:AE180" si="152">-(O152+O153+O165+O156+O163+O164+O177+O155)*0.195</f>
        <v>-229389.8339909077</v>
      </c>
      <c r="P180" s="150">
        <f t="shared" si="152"/>
        <v>-39273.91649083449</v>
      </c>
      <c r="Q180" s="150">
        <f t="shared" si="152"/>
        <v>-445429.47099198971</v>
      </c>
      <c r="R180" s="150">
        <f t="shared" si="152"/>
        <v>-230616.97622215978</v>
      </c>
      <c r="S180" s="150">
        <f t="shared" si="152"/>
        <v>-482996.58173543343</v>
      </c>
      <c r="T180" s="150">
        <f t="shared" si="152"/>
        <v>-261872.06944322673</v>
      </c>
      <c r="U180" s="150">
        <f t="shared" si="152"/>
        <v>-774136.65042551584</v>
      </c>
      <c r="V180" s="150">
        <f t="shared" si="152"/>
        <v>-561241.09026711434</v>
      </c>
      <c r="W180" s="150">
        <f t="shared" si="152"/>
        <v>-384098.28679273697</v>
      </c>
      <c r="X180" s="150">
        <f t="shared" si="152"/>
        <v>-38286.117626651074</v>
      </c>
      <c r="Y180" s="150">
        <f t="shared" si="152"/>
        <v>-998088.57333350438</v>
      </c>
      <c r="Z180" s="150">
        <f t="shared" si="152"/>
        <v>-167185.92448425913</v>
      </c>
      <c r="AA180" s="150">
        <f t="shared" si="152"/>
        <v>0</v>
      </c>
      <c r="AB180" s="150">
        <f t="shared" si="152"/>
        <v>0</v>
      </c>
      <c r="AC180" s="150">
        <f t="shared" si="152"/>
        <v>-803.53866187591291</v>
      </c>
      <c r="AD180" s="150">
        <f t="shared" si="152"/>
        <v>0</v>
      </c>
      <c r="AE180" s="150">
        <f t="shared" si="152"/>
        <v>0</v>
      </c>
      <c r="AF180" s="150">
        <f t="shared" ref="AF180:AO180" si="153">-(AF152+AF153+AF165+AF156+AF163+AF164+AF177+AF155)*0.195</f>
        <v>0</v>
      </c>
      <c r="AG180" s="150">
        <f t="shared" si="153"/>
        <v>0</v>
      </c>
      <c r="AH180" s="150">
        <f t="shared" si="153"/>
        <v>0</v>
      </c>
      <c r="AI180" s="150">
        <f t="shared" si="153"/>
        <v>0</v>
      </c>
      <c r="AJ180" s="150">
        <f t="shared" si="153"/>
        <v>0</v>
      </c>
      <c r="AK180" s="150">
        <f t="shared" si="153"/>
        <v>0</v>
      </c>
      <c r="AL180" s="150">
        <f t="shared" si="153"/>
        <v>0</v>
      </c>
      <c r="AM180" s="150">
        <f t="shared" ref="AM180:AN180" si="154">-(AM152+AM153+AM165+AM156+AM163+AM164+AM177+AM155)*0.195</f>
        <v>0</v>
      </c>
      <c r="AN180" s="150">
        <f t="shared" si="154"/>
        <v>0</v>
      </c>
      <c r="AO180" s="150">
        <f t="shared" si="153"/>
        <v>0</v>
      </c>
      <c r="AP180" s="150"/>
      <c r="AQ180" s="150"/>
      <c r="AR180" s="150">
        <f>-I180</f>
        <v>6086011.8251849664</v>
      </c>
      <c r="AS180" s="150"/>
      <c r="AT180" s="150"/>
      <c r="AU180" s="150"/>
      <c r="AV180" s="150"/>
      <c r="AW180" s="150"/>
      <c r="AX180" s="150"/>
      <c r="AY180" s="150"/>
      <c r="AZ180" s="150"/>
      <c r="BA180" s="150"/>
      <c r="BB180" s="150"/>
      <c r="BC180" s="170"/>
      <c r="BD180" s="170"/>
      <c r="BE180" s="170"/>
      <c r="BF180" s="170"/>
      <c r="BG180" s="170"/>
      <c r="BH180" s="170"/>
      <c r="BI180" s="170"/>
      <c r="BJ180" s="170"/>
      <c r="BK180" s="170">
        <f t="shared" si="147"/>
        <v>-6085208.284859837</v>
      </c>
      <c r="BL180" s="170">
        <f t="shared" si="148"/>
        <v>0</v>
      </c>
      <c r="BM180" s="170">
        <f t="shared" si="149"/>
        <v>-803.53866187591291</v>
      </c>
      <c r="BN180" s="170">
        <f t="shared" si="150"/>
        <v>6086011.8251849664</v>
      </c>
    </row>
    <row r="181" spans="1:66" s="171" customFormat="1" hidden="1" outlineLevel="2" x14ac:dyDescent="0.3">
      <c r="A181" s="192" t="s">
        <v>2737</v>
      </c>
      <c r="B181" s="164"/>
      <c r="C181" s="164"/>
      <c r="D181" s="164"/>
      <c r="E181" s="169" t="str">
        <f>VLOOKUP(A181,'Bevétel 2a SZH 2023'!B:C,2,0)</f>
        <v>Szombathelyi működésre ÁKTH elvonás nem ittlévő bevételekből -19,5 % MARADVÁNY FORRÁSBÓL</v>
      </c>
      <c r="F181" s="169" t="s">
        <v>65</v>
      </c>
      <c r="G181" s="169"/>
      <c r="H181" s="169" t="s">
        <v>2590</v>
      </c>
      <c r="I181" s="150">
        <f>IFERROR(VLOOKUP($A181,'Bevétel 2a SZH 2023'!$B:$L,MATCH($I$1,'Bevétel 2a SZH 2023'!$B$1:$L$1,0),0), )</f>
        <v>329069.96444709058</v>
      </c>
      <c r="J181" s="165">
        <f t="shared" si="122"/>
        <v>329069.96444709058</v>
      </c>
      <c r="K181" s="150">
        <f t="shared" si="151"/>
        <v>0</v>
      </c>
      <c r="L181" s="150">
        <f t="shared" si="136"/>
        <v>0</v>
      </c>
      <c r="M181" s="728"/>
      <c r="N181" s="150">
        <f>N154*-0.195</f>
        <v>0</v>
      </c>
      <c r="O181" s="150">
        <f t="shared" ref="O181:AE181" si="155">O154*-0.195</f>
        <v>0</v>
      </c>
      <c r="P181" s="150">
        <f t="shared" si="155"/>
        <v>0</v>
      </c>
      <c r="Q181" s="150">
        <f t="shared" si="155"/>
        <v>62523.293244947206</v>
      </c>
      <c r="R181" s="150">
        <f t="shared" si="155"/>
        <v>82267.491111772644</v>
      </c>
      <c r="S181" s="150">
        <f t="shared" si="155"/>
        <v>0</v>
      </c>
      <c r="T181" s="150">
        <f t="shared" si="155"/>
        <v>0</v>
      </c>
      <c r="U181" s="150">
        <f t="shared" si="155"/>
        <v>115174.48755648169</v>
      </c>
      <c r="V181" s="150">
        <f t="shared" si="155"/>
        <v>0</v>
      </c>
      <c r="W181" s="150">
        <f t="shared" si="155"/>
        <v>69104.692533889014</v>
      </c>
      <c r="X181" s="150">
        <f t="shared" si="155"/>
        <v>0</v>
      </c>
      <c r="Y181" s="150">
        <f t="shared" si="155"/>
        <v>0</v>
      </c>
      <c r="Z181" s="150">
        <f t="shared" si="155"/>
        <v>0</v>
      </c>
      <c r="AA181" s="150">
        <f t="shared" si="155"/>
        <v>0</v>
      </c>
      <c r="AB181" s="150">
        <f t="shared" si="155"/>
        <v>0</v>
      </c>
      <c r="AC181" s="150">
        <f t="shared" si="155"/>
        <v>0</v>
      </c>
      <c r="AD181" s="150">
        <f t="shared" si="155"/>
        <v>0</v>
      </c>
      <c r="AE181" s="150">
        <f t="shared" si="155"/>
        <v>0</v>
      </c>
      <c r="AF181" s="150">
        <f t="shared" ref="AF181:AO181" si="156">AF154*-0.195</f>
        <v>0</v>
      </c>
      <c r="AG181" s="150">
        <f t="shared" si="156"/>
        <v>0</v>
      </c>
      <c r="AH181" s="150">
        <f t="shared" si="156"/>
        <v>0</v>
      </c>
      <c r="AI181" s="150">
        <f t="shared" si="156"/>
        <v>0</v>
      </c>
      <c r="AJ181" s="150">
        <f t="shared" si="156"/>
        <v>0</v>
      </c>
      <c r="AK181" s="150">
        <f t="shared" si="156"/>
        <v>0</v>
      </c>
      <c r="AL181" s="150">
        <f t="shared" si="156"/>
        <v>0</v>
      </c>
      <c r="AM181" s="150">
        <f t="shared" ref="AM181:AN181" si="157">AM154*-0.195</f>
        <v>0</v>
      </c>
      <c r="AN181" s="150">
        <f t="shared" si="157"/>
        <v>0</v>
      </c>
      <c r="AO181" s="150">
        <f t="shared" si="156"/>
        <v>0</v>
      </c>
      <c r="AP181" s="150"/>
      <c r="AQ181" s="150"/>
      <c r="AR181" s="150">
        <f>-I181</f>
        <v>-329069.96444709058</v>
      </c>
      <c r="AS181" s="150"/>
      <c r="AT181" s="150"/>
      <c r="AU181" s="150"/>
      <c r="AV181" s="150"/>
      <c r="AW181" s="150"/>
      <c r="AX181" s="150"/>
      <c r="AY181" s="150"/>
      <c r="AZ181" s="150"/>
      <c r="BA181" s="150"/>
      <c r="BB181" s="150"/>
      <c r="BC181" s="170"/>
      <c r="BD181" s="170"/>
      <c r="BE181" s="170"/>
      <c r="BF181" s="170"/>
      <c r="BG181" s="170"/>
      <c r="BH181" s="170"/>
      <c r="BI181" s="170"/>
      <c r="BJ181" s="170"/>
      <c r="BK181" s="170">
        <f t="shared" si="147"/>
        <v>329069.96444709058</v>
      </c>
      <c r="BL181" s="170">
        <f t="shared" si="148"/>
        <v>0</v>
      </c>
      <c r="BM181" s="170">
        <f t="shared" si="149"/>
        <v>0</v>
      </c>
      <c r="BN181" s="170">
        <f t="shared" si="150"/>
        <v>-329069.96444709058</v>
      </c>
    </row>
    <row r="182" spans="1:66" s="171" customFormat="1" hidden="1" outlineLevel="1" collapsed="1" x14ac:dyDescent="0.3">
      <c r="A182" s="164">
        <v>42</v>
      </c>
      <c r="B182" s="164" t="s">
        <v>3288</v>
      </c>
      <c r="C182" s="164" t="s">
        <v>63</v>
      </c>
      <c r="D182" s="164" t="s">
        <v>2835</v>
      </c>
      <c r="E182" s="164" t="str">
        <f>VLOOKUP(A182,'Bevétel 2a SZH 2023'!B:C,2,0)</f>
        <v>Egyetemi kiválósági alap elvonás nem ittlévő bevételekből -0,5%</v>
      </c>
      <c r="F182" s="164"/>
      <c r="G182" s="169"/>
      <c r="H182" s="164" t="s">
        <v>2617</v>
      </c>
      <c r="I182" s="165">
        <f>IFERROR(VLOOKUP($A182,'Bevétel 2a SZH 2023'!$B:$L,MATCH($I$1,'Bevétel 2a SZH 2023'!$B$1:$L$1,0),0), )</f>
        <v>-147613.89386507374</v>
      </c>
      <c r="J182" s="165">
        <f t="shared" si="122"/>
        <v>-147613.89382242621</v>
      </c>
      <c r="K182" s="150">
        <f t="shared" si="151"/>
        <v>-4.2647530790418386E-5</v>
      </c>
      <c r="L182" s="150">
        <f t="shared" si="136"/>
        <v>4.2647530790418386E-5</v>
      </c>
      <c r="M182" s="173"/>
      <c r="N182" s="165">
        <f t="shared" ref="N182" si="158">SUM(N183:N184)</f>
        <v>-37758.789565525723</v>
      </c>
      <c r="O182" s="165">
        <f t="shared" ref="O182:AE182" si="159">SUM(O183:O184)</f>
        <v>-5881.7906151514799</v>
      </c>
      <c r="P182" s="165">
        <f t="shared" si="159"/>
        <v>-1007.0234997649869</v>
      </c>
      <c r="Q182" s="165">
        <f t="shared" si="159"/>
        <v>-9818.1071217190383</v>
      </c>
      <c r="R182" s="165">
        <f t="shared" si="159"/>
        <v>-3803.8329515483879</v>
      </c>
      <c r="S182" s="165">
        <f t="shared" si="159"/>
        <v>-12384.527736805985</v>
      </c>
      <c r="T182" s="165">
        <f t="shared" si="159"/>
        <v>-6714.6684472622237</v>
      </c>
      <c r="U182" s="165">
        <f t="shared" si="159"/>
        <v>-16896.46571459062</v>
      </c>
      <c r="V182" s="165">
        <f t="shared" si="159"/>
        <v>-14390.797186336265</v>
      </c>
      <c r="W182" s="165">
        <f t="shared" si="159"/>
        <v>-8076.758827149948</v>
      </c>
      <c r="X182" s="165">
        <f t="shared" si="159"/>
        <v>-981.69532376028394</v>
      </c>
      <c r="Y182" s="165">
        <f t="shared" si="159"/>
        <v>-25592.014700859087</v>
      </c>
      <c r="Z182" s="165">
        <f t="shared" si="159"/>
        <v>-4286.8185765194648</v>
      </c>
      <c r="AA182" s="165">
        <f t="shared" si="159"/>
        <v>0</v>
      </c>
      <c r="AB182" s="165">
        <f t="shared" si="159"/>
        <v>0</v>
      </c>
      <c r="AC182" s="165">
        <f t="shared" si="159"/>
        <v>-20.603555432715716</v>
      </c>
      <c r="AD182" s="165">
        <f t="shared" si="159"/>
        <v>0</v>
      </c>
      <c r="AE182" s="165">
        <f t="shared" si="159"/>
        <v>0</v>
      </c>
      <c r="AF182" s="165">
        <f t="shared" ref="AF182:AO182" si="160">SUM(AF183:AF184)</f>
        <v>0</v>
      </c>
      <c r="AG182" s="165">
        <f t="shared" si="160"/>
        <v>0</v>
      </c>
      <c r="AH182" s="165">
        <f t="shared" si="160"/>
        <v>0</v>
      </c>
      <c r="AI182" s="165">
        <f t="shared" si="160"/>
        <v>0</v>
      </c>
      <c r="AJ182" s="165">
        <f t="shared" si="160"/>
        <v>0</v>
      </c>
      <c r="AK182" s="165">
        <f t="shared" si="160"/>
        <v>0</v>
      </c>
      <c r="AL182" s="165">
        <f t="shared" si="160"/>
        <v>0</v>
      </c>
      <c r="AM182" s="165">
        <f t="shared" ref="AM182:AN182" si="161">SUM(AM183:AM184)</f>
        <v>0</v>
      </c>
      <c r="AN182" s="165">
        <f t="shared" si="161"/>
        <v>0</v>
      </c>
      <c r="AO182" s="165">
        <f t="shared" si="160"/>
        <v>0</v>
      </c>
      <c r="AP182" s="165">
        <f t="shared" ref="AP182:BJ182" si="162">SUM(AP183:AP184)</f>
        <v>0</v>
      </c>
      <c r="AQ182" s="165"/>
      <c r="AR182" s="165">
        <f t="shared" si="162"/>
        <v>0</v>
      </c>
      <c r="AS182" s="165">
        <f t="shared" si="162"/>
        <v>0</v>
      </c>
      <c r="AT182" s="165">
        <f t="shared" si="162"/>
        <v>0</v>
      </c>
      <c r="AU182" s="165">
        <f>SUM(AU183:AU184)</f>
        <v>147613.89386507374</v>
      </c>
      <c r="AV182" s="165">
        <f t="shared" si="162"/>
        <v>0</v>
      </c>
      <c r="AW182" s="165">
        <f t="shared" si="162"/>
        <v>0</v>
      </c>
      <c r="AX182" s="165">
        <f t="shared" si="162"/>
        <v>0</v>
      </c>
      <c r="AY182" s="165">
        <f t="shared" si="162"/>
        <v>0</v>
      </c>
      <c r="AZ182" s="165">
        <f t="shared" si="162"/>
        <v>0</v>
      </c>
      <c r="BA182" s="165">
        <f t="shared" si="162"/>
        <v>0</v>
      </c>
      <c r="BB182" s="165">
        <f t="shared" si="162"/>
        <v>0</v>
      </c>
      <c r="BC182" s="165">
        <f t="shared" si="162"/>
        <v>0</v>
      </c>
      <c r="BD182" s="165">
        <f t="shared" si="162"/>
        <v>0</v>
      </c>
      <c r="BE182" s="165">
        <f t="shared" si="162"/>
        <v>0</v>
      </c>
      <c r="BF182" s="165">
        <f t="shared" si="162"/>
        <v>0</v>
      </c>
      <c r="BG182" s="165">
        <f t="shared" si="162"/>
        <v>0</v>
      </c>
      <c r="BH182" s="165"/>
      <c r="BI182" s="165"/>
      <c r="BJ182" s="165">
        <f t="shared" si="162"/>
        <v>0</v>
      </c>
      <c r="BK182" s="167">
        <f t="shared" si="147"/>
        <v>-147593.29026699348</v>
      </c>
      <c r="BL182" s="167">
        <f t="shared" si="148"/>
        <v>0</v>
      </c>
      <c r="BM182" s="167">
        <f t="shared" si="149"/>
        <v>-20.603555432715716</v>
      </c>
      <c r="BN182" s="167">
        <f t="shared" si="150"/>
        <v>147613.89386507374</v>
      </c>
    </row>
    <row r="183" spans="1:66" s="171" customFormat="1" hidden="1" outlineLevel="2" x14ac:dyDescent="0.3">
      <c r="A183" s="192" t="s">
        <v>2738</v>
      </c>
      <c r="B183" s="164"/>
      <c r="C183" s="164"/>
      <c r="D183" s="164"/>
      <c r="E183" s="186" t="str">
        <f>VLOOKUP(A183,'Bevétel 2a SZH 2023'!B:C,2,0)</f>
        <v>Egyetemi kiválósági alap elvonás nem ittlévő bevételekből -0,5% TÁRGYÉVI FORRÁSBÓL</v>
      </c>
      <c r="F183" s="186" t="s">
        <v>2696</v>
      </c>
      <c r="G183" s="186">
        <v>342</v>
      </c>
      <c r="H183" s="186" t="s">
        <v>694</v>
      </c>
      <c r="I183" s="150">
        <f>IFERROR(VLOOKUP($A183,'Bevétel 2a SZH 2023'!$B:$L,MATCH($I$1,'Bevétel 2a SZH 2023'!$B$1:$L$1,0),0), )</f>
        <v>-156051.585261153</v>
      </c>
      <c r="J183" s="165">
        <f t="shared" si="122"/>
        <v>-156051.58521850547</v>
      </c>
      <c r="K183" s="150">
        <f t="shared" si="151"/>
        <v>-4.2647530790418386E-5</v>
      </c>
      <c r="L183" s="150">
        <f t="shared" si="136"/>
        <v>4.2647530790418386E-5</v>
      </c>
      <c r="M183" s="173"/>
      <c r="N183" s="150">
        <f>N180/39</f>
        <v>-37758.789565525723</v>
      </c>
      <c r="O183" s="150">
        <f t="shared" ref="O183:AE183" si="163">O180/39</f>
        <v>-5881.7906151514799</v>
      </c>
      <c r="P183" s="150">
        <f t="shared" si="163"/>
        <v>-1007.0234997649869</v>
      </c>
      <c r="Q183" s="150">
        <f t="shared" si="163"/>
        <v>-11421.268486974095</v>
      </c>
      <c r="R183" s="150">
        <f t="shared" si="163"/>
        <v>-5913.2558005681994</v>
      </c>
      <c r="S183" s="150">
        <f t="shared" si="163"/>
        <v>-12384.527736805985</v>
      </c>
      <c r="T183" s="150">
        <f t="shared" si="163"/>
        <v>-6714.6684472622237</v>
      </c>
      <c r="U183" s="150">
        <f t="shared" si="163"/>
        <v>-19849.657703218356</v>
      </c>
      <c r="V183" s="150">
        <f t="shared" si="163"/>
        <v>-14390.797186336265</v>
      </c>
      <c r="W183" s="150">
        <f t="shared" si="163"/>
        <v>-9848.674020326589</v>
      </c>
      <c r="X183" s="150">
        <f t="shared" si="163"/>
        <v>-981.69532376028394</v>
      </c>
      <c r="Y183" s="150">
        <f t="shared" si="163"/>
        <v>-25592.014700859087</v>
      </c>
      <c r="Z183" s="150">
        <f t="shared" si="163"/>
        <v>-4286.8185765194648</v>
      </c>
      <c r="AA183" s="150">
        <f t="shared" si="163"/>
        <v>0</v>
      </c>
      <c r="AB183" s="150">
        <f t="shared" si="163"/>
        <v>0</v>
      </c>
      <c r="AC183" s="150">
        <f t="shared" si="163"/>
        <v>-20.603555432715716</v>
      </c>
      <c r="AD183" s="150">
        <f t="shared" si="163"/>
        <v>0</v>
      </c>
      <c r="AE183" s="150">
        <f t="shared" si="163"/>
        <v>0</v>
      </c>
      <c r="AF183" s="150">
        <f t="shared" ref="AF183:AO183" si="164">AF180/39</f>
        <v>0</v>
      </c>
      <c r="AG183" s="150">
        <f t="shared" si="164"/>
        <v>0</v>
      </c>
      <c r="AH183" s="150">
        <f t="shared" si="164"/>
        <v>0</v>
      </c>
      <c r="AI183" s="150">
        <f t="shared" si="164"/>
        <v>0</v>
      </c>
      <c r="AJ183" s="150">
        <f t="shared" si="164"/>
        <v>0</v>
      </c>
      <c r="AK183" s="150">
        <f t="shared" si="164"/>
        <v>0</v>
      </c>
      <c r="AL183" s="150">
        <f t="shared" si="164"/>
        <v>0</v>
      </c>
      <c r="AM183" s="150">
        <f t="shared" ref="AM183:AN183" si="165">AM180/39</f>
        <v>0</v>
      </c>
      <c r="AN183" s="150">
        <f t="shared" si="165"/>
        <v>0</v>
      </c>
      <c r="AO183" s="150">
        <f t="shared" si="164"/>
        <v>0</v>
      </c>
      <c r="AP183" s="150"/>
      <c r="AQ183" s="150"/>
      <c r="AR183" s="150"/>
      <c r="AS183" s="150"/>
      <c r="AT183" s="150"/>
      <c r="AU183" s="150">
        <f>-I183</f>
        <v>156051.585261153</v>
      </c>
      <c r="AV183" s="150"/>
      <c r="AW183" s="150"/>
      <c r="AX183" s="150"/>
      <c r="AY183" s="150"/>
      <c r="AZ183" s="150"/>
      <c r="BA183" s="150"/>
      <c r="BB183" s="150"/>
      <c r="BC183" s="170"/>
      <c r="BD183" s="170"/>
      <c r="BE183" s="170"/>
      <c r="BF183" s="170"/>
      <c r="BG183" s="170"/>
      <c r="BH183" s="170"/>
      <c r="BI183" s="170"/>
      <c r="BJ183" s="170"/>
      <c r="BK183" s="170">
        <f t="shared" si="147"/>
        <v>-156030.98166307274</v>
      </c>
      <c r="BL183" s="170">
        <f t="shared" si="148"/>
        <v>0</v>
      </c>
      <c r="BM183" s="170">
        <f t="shared" si="149"/>
        <v>-20.603555432715716</v>
      </c>
      <c r="BN183" s="170">
        <f t="shared" si="150"/>
        <v>156051.585261153</v>
      </c>
    </row>
    <row r="184" spans="1:66" s="171" customFormat="1" hidden="1" outlineLevel="2" x14ac:dyDescent="0.3">
      <c r="A184" s="192" t="s">
        <v>2739</v>
      </c>
      <c r="B184" s="164"/>
      <c r="C184" s="164"/>
      <c r="D184" s="164"/>
      <c r="E184" s="186" t="str">
        <f>VLOOKUP(A184,'Bevétel 2a SZH 2023'!B:C,2,0)</f>
        <v>Egyetemi kiválósági alap elvonás nem ittlévő bevételekből -0,5% MARADVÁNY FORRÁSBÓL</v>
      </c>
      <c r="F184" s="186" t="s">
        <v>65</v>
      </c>
      <c r="G184" s="186"/>
      <c r="H184" s="186" t="s">
        <v>2590</v>
      </c>
      <c r="I184" s="150">
        <f>IFERROR(VLOOKUP($A184,'Bevétel 2a SZH 2023'!$B:$L,MATCH($I$1,'Bevétel 2a SZH 2023'!$B$1:$L$1,0),0), )</f>
        <v>8437.6913960792463</v>
      </c>
      <c r="J184" s="165">
        <f t="shared" si="122"/>
        <v>8437.6913960792444</v>
      </c>
      <c r="K184" s="150">
        <f t="shared" si="151"/>
        <v>0</v>
      </c>
      <c r="L184" s="150">
        <f t="shared" si="136"/>
        <v>0</v>
      </c>
      <c r="M184" s="728"/>
      <c r="N184" s="150">
        <f>N181/39</f>
        <v>0</v>
      </c>
      <c r="O184" s="150">
        <f t="shared" ref="O184:AE184" si="166">O181/39</f>
        <v>0</v>
      </c>
      <c r="P184" s="150">
        <f t="shared" si="166"/>
        <v>0</v>
      </c>
      <c r="Q184" s="150">
        <f t="shared" si="166"/>
        <v>1603.1613652550566</v>
      </c>
      <c r="R184" s="150">
        <f t="shared" si="166"/>
        <v>2109.4228490198116</v>
      </c>
      <c r="S184" s="150">
        <f t="shared" si="166"/>
        <v>0</v>
      </c>
      <c r="T184" s="150">
        <f t="shared" si="166"/>
        <v>0</v>
      </c>
      <c r="U184" s="150">
        <f t="shared" si="166"/>
        <v>2953.1919886277356</v>
      </c>
      <c r="V184" s="150">
        <f t="shared" si="166"/>
        <v>0</v>
      </c>
      <c r="W184" s="150">
        <f t="shared" si="166"/>
        <v>1771.9151931766414</v>
      </c>
      <c r="X184" s="150">
        <f t="shared" si="166"/>
        <v>0</v>
      </c>
      <c r="Y184" s="150">
        <f t="shared" si="166"/>
        <v>0</v>
      </c>
      <c r="Z184" s="150">
        <f t="shared" si="166"/>
        <v>0</v>
      </c>
      <c r="AA184" s="150">
        <f t="shared" si="166"/>
        <v>0</v>
      </c>
      <c r="AB184" s="150">
        <f t="shared" si="166"/>
        <v>0</v>
      </c>
      <c r="AC184" s="150">
        <f t="shared" si="166"/>
        <v>0</v>
      </c>
      <c r="AD184" s="150">
        <f t="shared" si="166"/>
        <v>0</v>
      </c>
      <c r="AE184" s="150">
        <f t="shared" si="166"/>
        <v>0</v>
      </c>
      <c r="AF184" s="150">
        <f t="shared" ref="AF184:AO184" si="167">AF181/39</f>
        <v>0</v>
      </c>
      <c r="AG184" s="150">
        <f t="shared" si="167"/>
        <v>0</v>
      </c>
      <c r="AH184" s="150">
        <f t="shared" si="167"/>
        <v>0</v>
      </c>
      <c r="AI184" s="150">
        <f t="shared" si="167"/>
        <v>0</v>
      </c>
      <c r="AJ184" s="150">
        <f t="shared" si="167"/>
        <v>0</v>
      </c>
      <c r="AK184" s="150">
        <f t="shared" si="167"/>
        <v>0</v>
      </c>
      <c r="AL184" s="150">
        <f t="shared" si="167"/>
        <v>0</v>
      </c>
      <c r="AM184" s="150">
        <f t="shared" ref="AM184:AN184" si="168">AM181/39</f>
        <v>0</v>
      </c>
      <c r="AN184" s="150">
        <f t="shared" si="168"/>
        <v>0</v>
      </c>
      <c r="AO184" s="150">
        <f t="shared" si="167"/>
        <v>0</v>
      </c>
      <c r="AP184" s="150"/>
      <c r="AQ184" s="150"/>
      <c r="AR184" s="150"/>
      <c r="AS184" s="150"/>
      <c r="AT184" s="150"/>
      <c r="AU184" s="150">
        <f>-I184</f>
        <v>-8437.6913960792463</v>
      </c>
      <c r="AV184" s="150"/>
      <c r="AW184" s="150"/>
      <c r="AX184" s="150"/>
      <c r="AY184" s="150"/>
      <c r="AZ184" s="150"/>
      <c r="BA184" s="150"/>
      <c r="BB184" s="150"/>
      <c r="BC184" s="170"/>
      <c r="BD184" s="170"/>
      <c r="BE184" s="170"/>
      <c r="BF184" s="170"/>
      <c r="BG184" s="170"/>
      <c r="BH184" s="170"/>
      <c r="BI184" s="170"/>
      <c r="BJ184" s="170"/>
      <c r="BK184" s="170">
        <f t="shared" si="147"/>
        <v>8437.6913960792444</v>
      </c>
      <c r="BL184" s="170">
        <f t="shared" si="148"/>
        <v>0</v>
      </c>
      <c r="BM184" s="170">
        <f t="shared" si="149"/>
        <v>0</v>
      </c>
      <c r="BN184" s="170">
        <f t="shared" si="150"/>
        <v>-8437.6913960792463</v>
      </c>
    </row>
    <row r="185" spans="1:66" s="171" customFormat="1" hidden="1" outlineLevel="1" collapsed="1" x14ac:dyDescent="0.3">
      <c r="A185" s="164">
        <v>43</v>
      </c>
      <c r="B185" s="164" t="s">
        <v>34</v>
      </c>
      <c r="C185" s="164" t="s">
        <v>63</v>
      </c>
      <c r="D185" s="164" t="s">
        <v>2837</v>
      </c>
      <c r="E185" s="183" t="str">
        <f>VLOOKUP(A185,'Bevétel 2a SZH 2023'!B:C,2,0)</f>
        <v>Kari kiválósági elvonás még nem ittlévő bevételekből -1,5 %</v>
      </c>
      <c r="F185" s="183"/>
      <c r="G185" s="186"/>
      <c r="H185" s="183" t="s">
        <v>2617</v>
      </c>
      <c r="I185" s="165">
        <f>IFERROR(VLOOKUP($A185,'Bevétel 2a SZH 2023'!$B:$L,MATCH($I$1,'Bevétel 2a SZH 2023'!$B$1:$L$1,0),0), )</f>
        <v>-442841.68159522116</v>
      </c>
      <c r="J185" s="165">
        <f t="shared" si="122"/>
        <v>1.2794265057891607E-4</v>
      </c>
      <c r="K185" s="150">
        <f t="shared" si="151"/>
        <v>-442841.68172316381</v>
      </c>
      <c r="L185" s="150">
        <f t="shared" si="136"/>
        <v>1.2794265057891607E-4</v>
      </c>
      <c r="M185" s="173"/>
      <c r="N185" s="165">
        <f t="shared" ref="N185" si="169">SUM(N186:N187)</f>
        <v>-113276.36869657718</v>
      </c>
      <c r="O185" s="165">
        <f t="shared" ref="O185:AE185" si="170">SUM(O186:O187)</f>
        <v>-17645.37184545444</v>
      </c>
      <c r="P185" s="165">
        <f t="shared" si="170"/>
        <v>-3021.0704992949609</v>
      </c>
      <c r="Q185" s="165">
        <f t="shared" si="170"/>
        <v>-29454.32136515712</v>
      </c>
      <c r="R185" s="165">
        <f t="shared" si="170"/>
        <v>-11411.498854645162</v>
      </c>
      <c r="S185" s="165">
        <f t="shared" si="170"/>
        <v>-37153.583210417957</v>
      </c>
      <c r="T185" s="165">
        <f t="shared" si="170"/>
        <v>-20144.005341786673</v>
      </c>
      <c r="U185" s="165">
        <f t="shared" si="170"/>
        <v>-50689.397143771857</v>
      </c>
      <c r="V185" s="165">
        <f t="shared" si="170"/>
        <v>-43172.3915590088</v>
      </c>
      <c r="W185" s="165">
        <f t="shared" si="170"/>
        <v>-24230.276481449844</v>
      </c>
      <c r="X185" s="165">
        <f t="shared" si="170"/>
        <v>-2945.0859712808519</v>
      </c>
      <c r="Y185" s="165">
        <f t="shared" si="170"/>
        <v>-76776.04410257726</v>
      </c>
      <c r="Z185" s="165">
        <f t="shared" si="170"/>
        <v>-12860.455729558395</v>
      </c>
      <c r="AA185" s="165">
        <f t="shared" si="170"/>
        <v>0</v>
      </c>
      <c r="AB185" s="165">
        <f t="shared" si="170"/>
        <v>0</v>
      </c>
      <c r="AC185" s="165">
        <f t="shared" si="170"/>
        <v>-61.810666298147147</v>
      </c>
      <c r="AD185" s="165">
        <f t="shared" si="170"/>
        <v>0</v>
      </c>
      <c r="AE185" s="165">
        <f t="shared" si="170"/>
        <v>0</v>
      </c>
      <c r="AF185" s="165">
        <f t="shared" ref="AF185:AO185" si="171">SUM(AF186:AF187)</f>
        <v>442841.68159522128</v>
      </c>
      <c r="AG185" s="165">
        <f t="shared" si="171"/>
        <v>0</v>
      </c>
      <c r="AH185" s="165">
        <f t="shared" si="171"/>
        <v>0</v>
      </c>
      <c r="AI185" s="165">
        <f t="shared" si="171"/>
        <v>0</v>
      </c>
      <c r="AJ185" s="165">
        <f t="shared" si="171"/>
        <v>0</v>
      </c>
      <c r="AK185" s="165">
        <f t="shared" si="171"/>
        <v>0</v>
      </c>
      <c r="AL185" s="165">
        <f t="shared" si="171"/>
        <v>0</v>
      </c>
      <c r="AM185" s="165">
        <f t="shared" ref="AM185:AN185" si="172">SUM(AM186:AM187)</f>
        <v>0</v>
      </c>
      <c r="AN185" s="165">
        <f t="shared" si="172"/>
        <v>0</v>
      </c>
      <c r="AO185" s="165">
        <f t="shared" si="171"/>
        <v>0</v>
      </c>
      <c r="AP185" s="165">
        <f t="shared" ref="AP185:BJ185" si="173">SUM(AP186:AP187)</f>
        <v>0</v>
      </c>
      <c r="AQ185" s="165"/>
      <c r="AR185" s="165">
        <f t="shared" si="173"/>
        <v>0</v>
      </c>
      <c r="AS185" s="165">
        <f t="shared" si="173"/>
        <v>0</v>
      </c>
      <c r="AT185" s="165">
        <f t="shared" si="173"/>
        <v>0</v>
      </c>
      <c r="AU185" s="165">
        <f t="shared" si="173"/>
        <v>0</v>
      </c>
      <c r="AV185" s="165">
        <f t="shared" si="173"/>
        <v>0</v>
      </c>
      <c r="AW185" s="165">
        <f t="shared" si="173"/>
        <v>0</v>
      </c>
      <c r="AX185" s="165">
        <f t="shared" si="173"/>
        <v>0</v>
      </c>
      <c r="AY185" s="165">
        <f t="shared" si="173"/>
        <v>0</v>
      </c>
      <c r="AZ185" s="165">
        <f t="shared" si="173"/>
        <v>0</v>
      </c>
      <c r="BA185" s="165">
        <f t="shared" si="173"/>
        <v>0</v>
      </c>
      <c r="BB185" s="165">
        <f t="shared" si="173"/>
        <v>0</v>
      </c>
      <c r="BC185" s="165">
        <f t="shared" si="173"/>
        <v>0</v>
      </c>
      <c r="BD185" s="165">
        <f t="shared" si="173"/>
        <v>0</v>
      </c>
      <c r="BE185" s="165">
        <f t="shared" si="173"/>
        <v>0</v>
      </c>
      <c r="BF185" s="165">
        <f t="shared" si="173"/>
        <v>0</v>
      </c>
      <c r="BG185" s="165">
        <f t="shared" si="173"/>
        <v>0</v>
      </c>
      <c r="BH185" s="165"/>
      <c r="BI185" s="165"/>
      <c r="BJ185" s="165">
        <f t="shared" si="173"/>
        <v>0</v>
      </c>
      <c r="BK185" s="167">
        <f t="shared" si="147"/>
        <v>-442779.87080098048</v>
      </c>
      <c r="BL185" s="167">
        <f t="shared" si="148"/>
        <v>0</v>
      </c>
      <c r="BM185" s="167">
        <f t="shared" si="149"/>
        <v>442779.87092892313</v>
      </c>
      <c r="BN185" s="167">
        <f t="shared" si="150"/>
        <v>0</v>
      </c>
    </row>
    <row r="186" spans="1:66" s="171" customFormat="1" hidden="1" outlineLevel="2" x14ac:dyDescent="0.3">
      <c r="A186" s="192" t="s">
        <v>2740</v>
      </c>
      <c r="B186" s="164"/>
      <c r="C186" s="164"/>
      <c r="D186" s="164"/>
      <c r="E186" s="186" t="str">
        <f>VLOOKUP(A186,'Bevétel 2a SZH 2023'!B:C,2,0)</f>
        <v>Kari kiválósági elvonás még nem ittlévő bevételekből -1,5 % TÁRGYÉVI FORRÁSBÓL</v>
      </c>
      <c r="F186" s="186" t="s">
        <v>2696</v>
      </c>
      <c r="G186" s="186">
        <v>341</v>
      </c>
      <c r="H186" s="186" t="s">
        <v>692</v>
      </c>
      <c r="I186" s="778">
        <f>IFERROR(VLOOKUP($A186,'Bevétel 2a SZH 2023'!$B:$L,MATCH($I$1,'Bevétel 2a SZH 2023'!$B$1:$L$1,0),0), )</f>
        <v>-468154.755783459</v>
      </c>
      <c r="J186" s="165">
        <f t="shared" si="122"/>
        <v>1.2794259237125516E-4</v>
      </c>
      <c r="K186" s="150">
        <f t="shared" si="151"/>
        <v>-468154.75591140159</v>
      </c>
      <c r="L186" s="150">
        <f t="shared" si="136"/>
        <v>1.2794259237125516E-4</v>
      </c>
      <c r="M186" s="173"/>
      <c r="N186" s="150">
        <f>N183*3</f>
        <v>-113276.36869657718</v>
      </c>
      <c r="O186" s="150">
        <f t="shared" ref="O186:AE186" si="174">O183*3</f>
        <v>-17645.37184545444</v>
      </c>
      <c r="P186" s="150">
        <f t="shared" si="174"/>
        <v>-3021.0704992949609</v>
      </c>
      <c r="Q186" s="150">
        <f t="shared" si="174"/>
        <v>-34263.805460922289</v>
      </c>
      <c r="R186" s="150">
        <f t="shared" si="174"/>
        <v>-17739.767401704597</v>
      </c>
      <c r="S186" s="150">
        <f t="shared" si="174"/>
        <v>-37153.583210417957</v>
      </c>
      <c r="T186" s="150">
        <f t="shared" si="174"/>
        <v>-20144.005341786673</v>
      </c>
      <c r="U186" s="150">
        <f t="shared" si="174"/>
        <v>-59548.973109655068</v>
      </c>
      <c r="V186" s="150">
        <f t="shared" si="174"/>
        <v>-43172.3915590088</v>
      </c>
      <c r="W186" s="150">
        <f t="shared" si="174"/>
        <v>-29546.022060979769</v>
      </c>
      <c r="X186" s="150">
        <f t="shared" si="174"/>
        <v>-2945.0859712808519</v>
      </c>
      <c r="Y186" s="150">
        <f t="shared" si="174"/>
        <v>-76776.04410257726</v>
      </c>
      <c r="Z186" s="150">
        <f t="shared" si="174"/>
        <v>-12860.455729558395</v>
      </c>
      <c r="AA186" s="150">
        <f t="shared" si="174"/>
        <v>0</v>
      </c>
      <c r="AB186" s="150">
        <f t="shared" si="174"/>
        <v>0</v>
      </c>
      <c r="AC186" s="150">
        <f t="shared" si="174"/>
        <v>-61.810666298147147</v>
      </c>
      <c r="AD186" s="150">
        <f t="shared" si="174"/>
        <v>0</v>
      </c>
      <c r="AE186" s="150">
        <f t="shared" si="174"/>
        <v>0</v>
      </c>
      <c r="AF186" s="150">
        <f>-I186</f>
        <v>468154.755783459</v>
      </c>
      <c r="AG186" s="150">
        <f t="shared" ref="AG186:AO186" si="175">AG183*3</f>
        <v>0</v>
      </c>
      <c r="AH186" s="150">
        <f t="shared" si="175"/>
        <v>0</v>
      </c>
      <c r="AI186" s="150">
        <f t="shared" si="175"/>
        <v>0</v>
      </c>
      <c r="AJ186" s="150">
        <f t="shared" si="175"/>
        <v>0</v>
      </c>
      <c r="AK186" s="150">
        <f t="shared" si="175"/>
        <v>0</v>
      </c>
      <c r="AL186" s="150">
        <f t="shared" si="175"/>
        <v>0</v>
      </c>
      <c r="AM186" s="150">
        <f t="shared" ref="AM186:AN186" si="176">AM183*3</f>
        <v>0</v>
      </c>
      <c r="AN186" s="150">
        <f t="shared" si="176"/>
        <v>0</v>
      </c>
      <c r="AO186" s="150">
        <f t="shared" si="175"/>
        <v>0</v>
      </c>
      <c r="AP186" s="150"/>
      <c r="AQ186" s="150"/>
      <c r="AR186" s="150"/>
      <c r="AS186" s="150"/>
      <c r="AT186" s="150"/>
      <c r="AU186" s="150"/>
      <c r="AV186" s="150"/>
      <c r="AW186" s="150"/>
      <c r="AX186" s="150"/>
      <c r="AY186" s="150"/>
      <c r="AZ186" s="150"/>
      <c r="BA186" s="150"/>
      <c r="BB186" s="150"/>
      <c r="BC186" s="170"/>
      <c r="BD186" s="170"/>
      <c r="BE186" s="170"/>
      <c r="BF186" s="170"/>
      <c r="BG186" s="170"/>
      <c r="BH186" s="170"/>
      <c r="BI186" s="170"/>
      <c r="BJ186" s="170"/>
      <c r="BK186" s="170">
        <f t="shared" si="147"/>
        <v>-468092.94498921826</v>
      </c>
      <c r="BL186" s="170">
        <f t="shared" si="148"/>
        <v>0</v>
      </c>
      <c r="BM186" s="170">
        <f t="shared" si="149"/>
        <v>468092.94511716085</v>
      </c>
      <c r="BN186" s="170">
        <f t="shared" si="150"/>
        <v>0</v>
      </c>
    </row>
    <row r="187" spans="1:66" s="171" customFormat="1" hidden="1" outlineLevel="2" x14ac:dyDescent="0.3">
      <c r="A187" s="192" t="s">
        <v>2741</v>
      </c>
      <c r="B187" s="164"/>
      <c r="C187" s="164"/>
      <c r="D187" s="164"/>
      <c r="E187" s="186" t="str">
        <f>VLOOKUP(A187,'Bevétel 2a SZH 2023'!B:C,2,0)</f>
        <v>Kari kiválósági elvonás még nem ittlévő bevételekből -1,5 % MARADVÁNY FORRÁSBÓL</v>
      </c>
      <c r="F187" s="186" t="s">
        <v>65</v>
      </c>
      <c r="G187" s="186"/>
      <c r="H187" s="186" t="s">
        <v>2590</v>
      </c>
      <c r="I187" s="150">
        <f>IFERROR(VLOOKUP($A187,'Bevétel 2a SZH 2023'!$B:$L,MATCH($I$1,'Bevétel 2a SZH 2023'!$B$1:$L$1,0),0), )</f>
        <v>25313.074188237741</v>
      </c>
      <c r="J187" s="165">
        <f t="shared" si="122"/>
        <v>-3.637978807091713E-12</v>
      </c>
      <c r="K187" s="150">
        <f t="shared" si="151"/>
        <v>25313.074188237744</v>
      </c>
      <c r="L187" s="150">
        <f t="shared" si="136"/>
        <v>-3.637978807091713E-12</v>
      </c>
      <c r="M187" s="728"/>
      <c r="N187" s="150">
        <f>N184*3</f>
        <v>0</v>
      </c>
      <c r="O187" s="150">
        <f t="shared" ref="O187:AE187" si="177">O184*3</f>
        <v>0</v>
      </c>
      <c r="P187" s="150">
        <f t="shared" si="177"/>
        <v>0</v>
      </c>
      <c r="Q187" s="150">
        <f t="shared" si="177"/>
        <v>4809.4840957651695</v>
      </c>
      <c r="R187" s="150">
        <f t="shared" si="177"/>
        <v>6328.2685470594352</v>
      </c>
      <c r="S187" s="150">
        <f t="shared" si="177"/>
        <v>0</v>
      </c>
      <c r="T187" s="150">
        <f t="shared" si="177"/>
        <v>0</v>
      </c>
      <c r="U187" s="150">
        <f t="shared" si="177"/>
        <v>8859.5759658832067</v>
      </c>
      <c r="V187" s="150">
        <f t="shared" si="177"/>
        <v>0</v>
      </c>
      <c r="W187" s="150">
        <f t="shared" si="177"/>
        <v>5315.7455795299247</v>
      </c>
      <c r="X187" s="150">
        <f t="shared" si="177"/>
        <v>0</v>
      </c>
      <c r="Y187" s="150">
        <f t="shared" si="177"/>
        <v>0</v>
      </c>
      <c r="Z187" s="150">
        <f t="shared" si="177"/>
        <v>0</v>
      </c>
      <c r="AA187" s="150">
        <f t="shared" si="177"/>
        <v>0</v>
      </c>
      <c r="AB187" s="150">
        <f t="shared" si="177"/>
        <v>0</v>
      </c>
      <c r="AC187" s="150">
        <f t="shared" si="177"/>
        <v>0</v>
      </c>
      <c r="AD187" s="150">
        <f t="shared" si="177"/>
        <v>0</v>
      </c>
      <c r="AE187" s="150">
        <f t="shared" si="177"/>
        <v>0</v>
      </c>
      <c r="AF187" s="150">
        <f>-I187</f>
        <v>-25313.074188237741</v>
      </c>
      <c r="AG187" s="150">
        <f>IFERROR(VLOOKUP($M187,'1 b felosztások'!$A:$AE,'1 b felosztások'!AF$2,0)*$I187,0)</f>
        <v>0</v>
      </c>
      <c r="AH187" s="150">
        <f>IFERROR(VLOOKUP($M187,'1 b felosztások'!$A:$AE,'1 b felosztások'!AG$2,0)*$I187,0)</f>
        <v>0</v>
      </c>
      <c r="AI187" s="150">
        <f>IFERROR(VLOOKUP($M187,'1 b felosztások'!$A:$AE,'1 b felosztások'!AH$2,0)*$I187,0)</f>
        <v>0</v>
      </c>
      <c r="AJ187" s="150">
        <f>IFERROR(VLOOKUP($M187,'1 b felosztások'!$A:$AE,'1 b felosztások'!AI$2,0)*$I187,0)</f>
        <v>0</v>
      </c>
      <c r="AK187" s="150">
        <f>IFERROR(VLOOKUP($M187,'1 b felosztások'!$A:$AE,'1 b felosztások'!AJ$2,0)*$I187,0)</f>
        <v>0</v>
      </c>
      <c r="AL187" s="150">
        <f>IFERROR(VLOOKUP($M187,'1 b felosztások'!$A:$AE,'1 b felosztások'!AK$2,0)*$I187,0)</f>
        <v>0</v>
      </c>
      <c r="AM187" s="150">
        <f>IFERROR(VLOOKUP($M187,'1 b felosztások'!$A:$AE,'1 b felosztások'!AL$2,0)*$I187,0)</f>
        <v>0</v>
      </c>
      <c r="AN187" s="150">
        <f>IFERROR(VLOOKUP($M187,'1 b felosztások'!$A:$AE,'1 b felosztások'!AM$2,0)*$I187,0)</f>
        <v>0</v>
      </c>
      <c r="AO187" s="150">
        <f>IFERROR(VLOOKUP($M187,'1 b felosztások'!$A:$AE,'1 b felosztások'!AL$2,0)*$I187,0)</f>
        <v>0</v>
      </c>
      <c r="AP187" s="150"/>
      <c r="AQ187" s="150"/>
      <c r="AR187" s="150"/>
      <c r="AS187" s="150"/>
      <c r="AT187" s="150"/>
      <c r="AU187" s="150"/>
      <c r="AV187" s="150"/>
      <c r="AW187" s="150"/>
      <c r="AX187" s="150"/>
      <c r="AY187" s="150"/>
      <c r="AZ187" s="150"/>
      <c r="BA187" s="150"/>
      <c r="BB187" s="150"/>
      <c r="BC187" s="170"/>
      <c r="BD187" s="170"/>
      <c r="BE187" s="170"/>
      <c r="BF187" s="170"/>
      <c r="BG187" s="170"/>
      <c r="BH187" s="170"/>
      <c r="BI187" s="170"/>
      <c r="BJ187" s="170"/>
      <c r="BK187" s="170">
        <f t="shared" si="147"/>
        <v>25313.074188237737</v>
      </c>
      <c r="BL187" s="170">
        <f t="shared" si="148"/>
        <v>0</v>
      </c>
      <c r="BM187" s="170">
        <f t="shared" si="149"/>
        <v>-25313.074188237741</v>
      </c>
      <c r="BN187" s="170">
        <f t="shared" si="150"/>
        <v>0</v>
      </c>
    </row>
    <row r="188" spans="1:66" s="171" customFormat="1" hidden="1" outlineLevel="1" collapsed="1" x14ac:dyDescent="0.3">
      <c r="A188" s="164">
        <v>44</v>
      </c>
      <c r="B188" s="164" t="s">
        <v>27</v>
      </c>
      <c r="C188" s="164" t="s">
        <v>63</v>
      </c>
      <c r="D188" s="164" t="s">
        <v>3273</v>
      </c>
      <c r="E188" s="183" t="str">
        <f>VLOOKUP(A188,'Bevétel 2a SZH 2023'!B:C,2,0)</f>
        <v>Karnál kiválósági visszahagyás +1,5 %</v>
      </c>
      <c r="F188" s="183"/>
      <c r="G188" s="186"/>
      <c r="H188" s="717" t="s">
        <v>2669</v>
      </c>
      <c r="I188" s="165">
        <f>IFERROR(VLOOKUP($A188,'Bevétel 2a SZH 2023'!$B:$L,MATCH($I$1,'Bevétel 2a SZH 2023'!$B$1:$L$1,0),0), )</f>
        <v>442841.68159522116</v>
      </c>
      <c r="J188" s="165">
        <f t="shared" si="122"/>
        <v>0</v>
      </c>
      <c r="K188" s="150">
        <f t="shared" si="151"/>
        <v>442841.68159522116</v>
      </c>
      <c r="L188" s="150">
        <f t="shared" si="136"/>
        <v>0</v>
      </c>
      <c r="M188" s="166"/>
      <c r="N188" s="165"/>
      <c r="O188" s="165">
        <f t="shared" ref="O188:Z188" si="178">SUM(O189:O190)</f>
        <v>0</v>
      </c>
      <c r="P188" s="165">
        <f t="shared" si="178"/>
        <v>0</v>
      </c>
      <c r="Q188" s="165">
        <f t="shared" si="178"/>
        <v>0</v>
      </c>
      <c r="R188" s="165">
        <f t="shared" si="178"/>
        <v>0</v>
      </c>
      <c r="S188" s="165">
        <f t="shared" si="178"/>
        <v>0</v>
      </c>
      <c r="T188" s="165">
        <f t="shared" si="178"/>
        <v>0</v>
      </c>
      <c r="U188" s="165">
        <f t="shared" si="178"/>
        <v>0</v>
      </c>
      <c r="V188" s="165">
        <f t="shared" si="178"/>
        <v>0</v>
      </c>
      <c r="W188" s="165">
        <f t="shared" si="178"/>
        <v>0</v>
      </c>
      <c r="X188" s="165">
        <f t="shared" si="178"/>
        <v>0</v>
      </c>
      <c r="Y188" s="165">
        <f t="shared" si="178"/>
        <v>0</v>
      </c>
      <c r="Z188" s="165">
        <f t="shared" si="178"/>
        <v>0</v>
      </c>
      <c r="AA188" s="165">
        <f t="shared" ref="AA188:AI188" si="179">SUM(AA189:AA190)</f>
        <v>0</v>
      </c>
      <c r="AB188" s="165">
        <f t="shared" si="179"/>
        <v>0</v>
      </c>
      <c r="AC188" s="165">
        <f t="shared" si="179"/>
        <v>0</v>
      </c>
      <c r="AD188" s="165">
        <f t="shared" si="179"/>
        <v>0</v>
      </c>
      <c r="AE188" s="165">
        <f t="shared" si="179"/>
        <v>0</v>
      </c>
      <c r="AF188" s="165">
        <f t="shared" ref="AF188" si="180">SUM(AF189:AF190)</f>
        <v>0</v>
      </c>
      <c r="AG188" s="165">
        <f t="shared" ref="AG188" si="181">SUM(AG189:AG190)</f>
        <v>0</v>
      </c>
      <c r="AH188" s="165">
        <f t="shared" si="179"/>
        <v>0</v>
      </c>
      <c r="AI188" s="165">
        <f t="shared" si="179"/>
        <v>0</v>
      </c>
      <c r="AJ188" s="165">
        <f t="shared" ref="AJ188:BJ188" si="182">SUM(AJ189:AJ190)</f>
        <v>0</v>
      </c>
      <c r="AK188" s="165">
        <f t="shared" si="182"/>
        <v>0</v>
      </c>
      <c r="AL188" s="165">
        <f t="shared" si="182"/>
        <v>0</v>
      </c>
      <c r="AM188" s="165">
        <f t="shared" ref="AM188:AN188" si="183">SUM(AM189:AM190)</f>
        <v>0</v>
      </c>
      <c r="AN188" s="165">
        <f t="shared" si="183"/>
        <v>0</v>
      </c>
      <c r="AO188" s="165">
        <f t="shared" si="182"/>
        <v>0</v>
      </c>
      <c r="AP188" s="165">
        <f t="shared" si="182"/>
        <v>0</v>
      </c>
      <c r="AQ188" s="165"/>
      <c r="AR188" s="165">
        <f t="shared" si="182"/>
        <v>0</v>
      </c>
      <c r="AS188" s="165">
        <f t="shared" si="182"/>
        <v>0</v>
      </c>
      <c r="AT188" s="165">
        <f t="shared" si="182"/>
        <v>0</v>
      </c>
      <c r="AU188" s="165">
        <f t="shared" si="182"/>
        <v>0</v>
      </c>
      <c r="AV188" s="165">
        <f t="shared" si="182"/>
        <v>0</v>
      </c>
      <c r="AW188" s="165">
        <f t="shared" si="182"/>
        <v>0</v>
      </c>
      <c r="AX188" s="165">
        <f t="shared" si="182"/>
        <v>0</v>
      </c>
      <c r="AY188" s="165">
        <f t="shared" si="182"/>
        <v>0</v>
      </c>
      <c r="AZ188" s="165">
        <f t="shared" si="182"/>
        <v>0</v>
      </c>
      <c r="BA188" s="165">
        <f t="shared" si="182"/>
        <v>0</v>
      </c>
      <c r="BB188" s="165">
        <f t="shared" si="182"/>
        <v>0</v>
      </c>
      <c r="BC188" s="165">
        <f t="shared" si="182"/>
        <v>0</v>
      </c>
      <c r="BD188" s="165">
        <f t="shared" si="182"/>
        <v>0</v>
      </c>
      <c r="BE188" s="165">
        <f t="shared" si="182"/>
        <v>0</v>
      </c>
      <c r="BF188" s="165">
        <f t="shared" si="182"/>
        <v>0</v>
      </c>
      <c r="BG188" s="165">
        <f t="shared" si="182"/>
        <v>0</v>
      </c>
      <c r="BH188" s="165"/>
      <c r="BI188" s="165"/>
      <c r="BJ188" s="165">
        <f t="shared" si="182"/>
        <v>0</v>
      </c>
      <c r="BK188" s="167">
        <f t="shared" si="147"/>
        <v>0</v>
      </c>
      <c r="BL188" s="167">
        <f t="shared" si="148"/>
        <v>0</v>
      </c>
      <c r="BM188" s="167">
        <f t="shared" si="149"/>
        <v>0</v>
      </c>
      <c r="BN188" s="167">
        <f t="shared" si="150"/>
        <v>0</v>
      </c>
    </row>
    <row r="189" spans="1:66" s="171" customFormat="1" hidden="1" outlineLevel="2" x14ac:dyDescent="0.3">
      <c r="A189" s="192" t="s">
        <v>2742</v>
      </c>
      <c r="B189" s="164"/>
      <c r="C189" s="164"/>
      <c r="D189" s="164"/>
      <c r="E189" s="186" t="str">
        <f>VLOOKUP(A189,'Bevétel 2a SZH 2023'!B:C,2,0)</f>
        <v>Karnál kiválósági visszahagyás +1,5 % TÁRGYÉVI FORRÁSBÓL</v>
      </c>
      <c r="F189" s="186" t="s">
        <v>2696</v>
      </c>
      <c r="G189" s="186">
        <v>1</v>
      </c>
      <c r="H189" s="717" t="s">
        <v>2669</v>
      </c>
      <c r="I189" s="778">
        <f>IFERROR(VLOOKUP($A189,'Bevétel 2a SZH 2023'!$B:$L,MATCH($I$1,'Bevétel 2a SZH 2023'!$B$1:$L$1,0),0), )</f>
        <v>468154.755783459</v>
      </c>
      <c r="J189" s="165">
        <f t="shared" si="122"/>
        <v>0</v>
      </c>
      <c r="K189" s="150">
        <f t="shared" si="151"/>
        <v>468154.755783459</v>
      </c>
      <c r="L189" s="150">
        <f t="shared" si="136"/>
        <v>0</v>
      </c>
      <c r="M189" s="166"/>
      <c r="N189" s="150"/>
      <c r="O189" s="150"/>
      <c r="P189" s="150"/>
      <c r="Q189" s="150"/>
      <c r="R189" s="150"/>
      <c r="S189" s="150"/>
      <c r="T189" s="150"/>
      <c r="U189" s="150"/>
      <c r="V189" s="150"/>
      <c r="W189" s="150"/>
      <c r="X189" s="150"/>
      <c r="Y189" s="150"/>
      <c r="Z189" s="150"/>
      <c r="AA189" s="150"/>
      <c r="AB189" s="150"/>
      <c r="AC189" s="150"/>
      <c r="AD189" s="150"/>
      <c r="AE189" s="150"/>
      <c r="AF189" s="150"/>
      <c r="AG189" s="150"/>
      <c r="AH189" s="150"/>
      <c r="AI189" s="150"/>
      <c r="AJ189" s="150"/>
      <c r="AK189" s="150"/>
      <c r="AL189" s="150"/>
      <c r="AM189" s="150"/>
      <c r="AN189" s="150"/>
      <c r="AO189" s="150"/>
      <c r="AP189" s="150"/>
      <c r="AQ189" s="150"/>
      <c r="AR189" s="150"/>
      <c r="AS189" s="150"/>
      <c r="AT189" s="150"/>
      <c r="AU189" s="150"/>
      <c r="AV189" s="150"/>
      <c r="AW189" s="150"/>
      <c r="AX189" s="150"/>
      <c r="AY189" s="150"/>
      <c r="AZ189" s="150"/>
      <c r="BA189" s="150"/>
      <c r="BB189" s="150"/>
      <c r="BC189" s="170"/>
      <c r="BD189" s="170"/>
      <c r="BE189" s="170"/>
      <c r="BF189" s="170"/>
      <c r="BG189" s="170"/>
      <c r="BH189" s="170"/>
      <c r="BI189" s="170"/>
      <c r="BJ189" s="170"/>
      <c r="BK189" s="170">
        <f t="shared" si="147"/>
        <v>0</v>
      </c>
      <c r="BL189" s="170">
        <f t="shared" si="148"/>
        <v>0</v>
      </c>
      <c r="BM189" s="170">
        <f t="shared" si="149"/>
        <v>0</v>
      </c>
      <c r="BN189" s="170">
        <f t="shared" si="150"/>
        <v>0</v>
      </c>
    </row>
    <row r="190" spans="1:66" s="171" customFormat="1" hidden="1" outlineLevel="2" x14ac:dyDescent="0.3">
      <c r="A190" s="192" t="s">
        <v>2743</v>
      </c>
      <c r="B190" s="164"/>
      <c r="C190" s="164"/>
      <c r="D190" s="164"/>
      <c r="E190" s="186" t="str">
        <f>VLOOKUP(A190,'Bevétel 2a SZH 2023'!B:C,2,0)</f>
        <v>Karnál kiválósági visszahagyás +1,5 % MARADVÁNY FORRÁSBÓL</v>
      </c>
      <c r="F190" s="186" t="s">
        <v>65</v>
      </c>
      <c r="G190" s="186"/>
      <c r="H190" s="186" t="s">
        <v>2590</v>
      </c>
      <c r="I190" s="150">
        <f>IFERROR(VLOOKUP($A190,'Bevétel 2a SZH 2023'!$B:$L,MATCH($I$1,'Bevétel 2a SZH 2023'!$B$1:$L$1,0),0), )</f>
        <v>-25313.074188237741</v>
      </c>
      <c r="J190" s="165">
        <f t="shared" si="122"/>
        <v>0</v>
      </c>
      <c r="K190" s="150">
        <f t="shared" si="151"/>
        <v>-25313.074188237741</v>
      </c>
      <c r="L190" s="150">
        <f t="shared" si="136"/>
        <v>0</v>
      </c>
      <c r="M190" s="166"/>
      <c r="N190" s="150"/>
      <c r="O190" s="150"/>
      <c r="P190" s="150"/>
      <c r="Q190" s="150"/>
      <c r="R190" s="150"/>
      <c r="S190" s="150"/>
      <c r="T190" s="150"/>
      <c r="U190" s="150"/>
      <c r="V190" s="150"/>
      <c r="W190" s="150"/>
      <c r="X190" s="150"/>
      <c r="Y190" s="150"/>
      <c r="Z190" s="150"/>
      <c r="AA190" s="150"/>
      <c r="AB190" s="150"/>
      <c r="AC190" s="150"/>
      <c r="AD190" s="150"/>
      <c r="AE190" s="150"/>
      <c r="AF190" s="150"/>
      <c r="AG190" s="150"/>
      <c r="AH190" s="150"/>
      <c r="AI190" s="150"/>
      <c r="AJ190" s="150"/>
      <c r="AK190" s="150"/>
      <c r="AL190" s="150"/>
      <c r="AM190" s="150"/>
      <c r="AN190" s="150"/>
      <c r="AO190" s="150"/>
      <c r="AP190" s="150"/>
      <c r="AQ190" s="150"/>
      <c r="AR190" s="150"/>
      <c r="AS190" s="150"/>
      <c r="AT190" s="150"/>
      <c r="AU190" s="150"/>
      <c r="AV190" s="150"/>
      <c r="AW190" s="150"/>
      <c r="AX190" s="150"/>
      <c r="AY190" s="150"/>
      <c r="AZ190" s="150"/>
      <c r="BA190" s="150"/>
      <c r="BB190" s="150"/>
      <c r="BC190" s="170"/>
      <c r="BD190" s="170"/>
      <c r="BE190" s="170"/>
      <c r="BF190" s="170"/>
      <c r="BG190" s="170"/>
      <c r="BH190" s="170"/>
      <c r="BI190" s="170"/>
      <c r="BJ190" s="170"/>
      <c r="BK190" s="170">
        <f t="shared" si="147"/>
        <v>0</v>
      </c>
      <c r="BL190" s="170">
        <f t="shared" si="148"/>
        <v>0</v>
      </c>
      <c r="BM190" s="170">
        <f t="shared" si="149"/>
        <v>0</v>
      </c>
      <c r="BN190" s="170">
        <f t="shared" si="150"/>
        <v>0</v>
      </c>
    </row>
    <row r="191" spans="1:66" s="171" customFormat="1" ht="37.950000000000003" customHeight="1" collapsed="1" x14ac:dyDescent="0.3">
      <c r="A191" s="193"/>
      <c r="B191" s="187" t="s">
        <v>35</v>
      </c>
      <c r="C191" s="180" t="s">
        <v>2812</v>
      </c>
      <c r="D191" s="180" t="s">
        <v>2836</v>
      </c>
      <c r="E191" s="194" t="str">
        <f>+B191</f>
        <v>Bevétel egyenleg III. (Bevétel egyenleg II. + nem ittlévő bevételek)</v>
      </c>
      <c r="F191" s="195"/>
      <c r="G191" s="196"/>
      <c r="H191" s="196"/>
      <c r="I191" s="181">
        <f>+I151+I152+I153+I156+I163+I164+I165+I177+I179+I182+I185+I188+I154+I155+I178</f>
        <v>810248583.75948298</v>
      </c>
      <c r="J191" s="181">
        <f t="shared" ref="J191:BN191" si="184">+J151+J152+J153+J156+J163+J164+J165+J177+J179+J182+J185+J188+J154+J155+J178</f>
        <v>810248582.85594392</v>
      </c>
      <c r="K191" s="181">
        <f t="shared" si="184"/>
        <v>4.3388432065839879</v>
      </c>
      <c r="L191" s="181">
        <f t="shared" si="184"/>
        <v>1054788967.6125858</v>
      </c>
      <c r="M191" s="181"/>
      <c r="N191" s="181">
        <f t="shared" si="184"/>
        <v>126344561.73910931</v>
      </c>
      <c r="O191" s="181">
        <f t="shared" si="184"/>
        <v>32257175.95205117</v>
      </c>
      <c r="P191" s="181">
        <f t="shared" si="184"/>
        <v>7032140.5755096069</v>
      </c>
      <c r="Q191" s="181">
        <f t="shared" si="184"/>
        <v>42207855.974033043</v>
      </c>
      <c r="R191" s="181">
        <f t="shared" si="184"/>
        <v>16312404.308970556</v>
      </c>
      <c r="S191" s="181">
        <f t="shared" si="184"/>
        <v>40930915.908116542</v>
      </c>
      <c r="T191" s="181">
        <f t="shared" si="184"/>
        <v>19156876.213568255</v>
      </c>
      <c r="U191" s="181">
        <f t="shared" si="184"/>
        <v>50095468.708221823</v>
      </c>
      <c r="V191" s="181">
        <f t="shared" si="184"/>
        <v>60394818.213662826</v>
      </c>
      <c r="W191" s="181">
        <f t="shared" si="184"/>
        <v>50569843.539226055</v>
      </c>
      <c r="X191" s="181">
        <f t="shared" si="184"/>
        <v>29365783.173523702</v>
      </c>
      <c r="Y191" s="181">
        <f t="shared" si="184"/>
        <v>69252092.825751573</v>
      </c>
      <c r="Z191" s="181">
        <f t="shared" si="184"/>
        <v>28161347.053147726</v>
      </c>
      <c r="AA191" s="181">
        <f t="shared" si="184"/>
        <v>12125355.938862089</v>
      </c>
      <c r="AB191" s="181">
        <f t="shared" si="184"/>
        <v>0</v>
      </c>
      <c r="AC191" s="181">
        <f t="shared" si="184"/>
        <v>18252393.050594326</v>
      </c>
      <c r="AD191" s="181">
        <f t="shared" si="184"/>
        <v>-2983500</v>
      </c>
      <c r="AE191" s="181">
        <f t="shared" si="184"/>
        <v>-15000</v>
      </c>
      <c r="AF191" s="181">
        <f t="shared" si="184"/>
        <v>20886890.681595221</v>
      </c>
      <c r="AG191" s="181">
        <f t="shared" si="184"/>
        <v>0</v>
      </c>
      <c r="AH191" s="181">
        <f t="shared" si="184"/>
        <v>0</v>
      </c>
      <c r="AI191" s="181">
        <f t="shared" si="184"/>
        <v>0</v>
      </c>
      <c r="AJ191" s="181">
        <f t="shared" si="184"/>
        <v>0</v>
      </c>
      <c r="AK191" s="181">
        <f t="shared" si="184"/>
        <v>0</v>
      </c>
      <c r="AL191" s="181">
        <f t="shared" si="184"/>
        <v>0</v>
      </c>
      <c r="AM191" s="181">
        <f>+AM151+AM152+AM153+AM156+AM163+AM164+AM165+AM177+AM179+AM182+AM185+AM188+AM154+AM155+AM178</f>
        <v>701969</v>
      </c>
      <c r="AN191" s="181">
        <f t="shared" si="184"/>
        <v>19731182</v>
      </c>
      <c r="AO191" s="181">
        <f t="shared" si="184"/>
        <v>169468004</v>
      </c>
      <c r="AP191" s="181">
        <f t="shared" si="184"/>
        <v>1268176</v>
      </c>
      <c r="AQ191" s="181">
        <f t="shared" si="184"/>
        <v>0</v>
      </c>
      <c r="AR191" s="181">
        <f t="shared" si="184"/>
        <v>194403644.63074037</v>
      </c>
      <c r="AS191" s="181">
        <f t="shared" si="184"/>
        <v>42158065</v>
      </c>
      <c r="AT191" s="181">
        <f t="shared" si="184"/>
        <v>95377.41</v>
      </c>
      <c r="AU191" s="181">
        <f t="shared" si="184"/>
        <v>4984708.8366856501</v>
      </c>
      <c r="AV191" s="181">
        <f t="shared" si="184"/>
        <v>0</v>
      </c>
      <c r="AW191" s="181">
        <f t="shared" si="184"/>
        <v>0</v>
      </c>
      <c r="AX191" s="181">
        <f t="shared" si="184"/>
        <v>0</v>
      </c>
      <c r="AY191" s="181">
        <f t="shared" si="184"/>
        <v>0</v>
      </c>
      <c r="AZ191" s="181">
        <f t="shared" si="184"/>
        <v>0</v>
      </c>
      <c r="BA191" s="181">
        <f t="shared" si="184"/>
        <v>0</v>
      </c>
      <c r="BB191" s="181">
        <f t="shared" si="184"/>
        <v>6979623.5999999996</v>
      </c>
      <c r="BC191" s="181">
        <f t="shared" si="184"/>
        <v>0</v>
      </c>
      <c r="BD191" s="181">
        <f t="shared" si="184"/>
        <v>0</v>
      </c>
      <c r="BE191" s="181">
        <f t="shared" si="184"/>
        <v>0</v>
      </c>
      <c r="BF191" s="181">
        <f t="shared" si="184"/>
        <v>0</v>
      </c>
      <c r="BG191" s="181">
        <f t="shared" si="184"/>
        <v>1687538.279215849</v>
      </c>
      <c r="BH191" s="181">
        <f t="shared" si="184"/>
        <v>9644473</v>
      </c>
      <c r="BI191" s="181">
        <f t="shared" si="184"/>
        <v>0</v>
      </c>
      <c r="BJ191" s="181">
        <f t="shared" si="184"/>
        <v>0</v>
      </c>
      <c r="BK191" s="181">
        <f t="shared" si="184"/>
        <v>584206640.12375426</v>
      </c>
      <c r="BL191" s="181">
        <f t="shared" si="184"/>
        <v>0</v>
      </c>
      <c r="BM191" s="181">
        <f t="shared" si="184"/>
        <v>199228890.73218954</v>
      </c>
      <c r="BN191" s="181">
        <f t="shared" si="184"/>
        <v>261221606.75664186</v>
      </c>
    </row>
    <row r="192" spans="1:66" s="171" customFormat="1" hidden="1" outlineLevel="1" collapsed="1" x14ac:dyDescent="0.3">
      <c r="A192" s="183">
        <v>48</v>
      </c>
      <c r="B192" s="183" t="s">
        <v>37</v>
      </c>
      <c r="C192" s="183" t="s">
        <v>63</v>
      </c>
      <c r="D192" s="183" t="s">
        <v>3274</v>
      </c>
      <c r="E192" s="183" t="str">
        <f>VLOOKUP(A192,'Bevétel 2a SZH 2023'!B:C,2,0)</f>
        <v>Egyéb ÁKTH (köznevelés 6%-a), pályázati rezsi</v>
      </c>
      <c r="F192" s="183" t="s">
        <v>2696</v>
      </c>
      <c r="G192" s="186"/>
      <c r="H192" s="717" t="s">
        <v>2617</v>
      </c>
      <c r="I192" s="718">
        <f>SUM(I193)</f>
        <v>69502.264999999999</v>
      </c>
      <c r="J192" s="718">
        <f>SUM(N192:BA192)</f>
        <v>69502.265000000014</v>
      </c>
      <c r="K192" s="150">
        <f t="shared" ref="K192" si="185">+I192-J192</f>
        <v>0</v>
      </c>
      <c r="L192" s="150">
        <f>SUM(N192:BU192)</f>
        <v>139004.53000000003</v>
      </c>
      <c r="M192" s="166"/>
      <c r="N192" s="165">
        <f>SUM(N193)</f>
        <v>13128.205611111111</v>
      </c>
      <c r="O192" s="165">
        <f t="shared" ref="O192:AB192" si="186">SUM(O193)</f>
        <v>6950.2265000000007</v>
      </c>
      <c r="P192" s="165">
        <f t="shared" si="186"/>
        <v>1544.4947777777779</v>
      </c>
      <c r="Q192" s="165">
        <f t="shared" si="186"/>
        <v>7722.4738888888887</v>
      </c>
      <c r="R192" s="165">
        <f t="shared" si="186"/>
        <v>3088.9895555555559</v>
      </c>
      <c r="S192" s="165">
        <f t="shared" si="186"/>
        <v>4633.4843333333329</v>
      </c>
      <c r="T192" s="165">
        <f t="shared" si="186"/>
        <v>1544.4947777777779</v>
      </c>
      <c r="U192" s="165">
        <f t="shared" si="186"/>
        <v>4633.4843333333329</v>
      </c>
      <c r="V192" s="165">
        <f t="shared" si="186"/>
        <v>6177.9791111111117</v>
      </c>
      <c r="W192" s="165">
        <f t="shared" si="186"/>
        <v>6950.2265000000007</v>
      </c>
      <c r="X192" s="165">
        <f t="shared" si="186"/>
        <v>3861.2369444444444</v>
      </c>
      <c r="Y192" s="165">
        <f t="shared" si="186"/>
        <v>5405.7317222222218</v>
      </c>
      <c r="Z192" s="165">
        <f t="shared" si="186"/>
        <v>3861.2369444444444</v>
      </c>
      <c r="AA192" s="165">
        <f t="shared" si="186"/>
        <v>0</v>
      </c>
      <c r="AB192" s="165">
        <f t="shared" si="186"/>
        <v>0</v>
      </c>
      <c r="AC192" s="165"/>
      <c r="AD192" s="165"/>
      <c r="AE192" s="165"/>
      <c r="AF192" s="165"/>
      <c r="AG192" s="165"/>
      <c r="AH192" s="165"/>
      <c r="AI192" s="165"/>
      <c r="AJ192" s="165"/>
      <c r="AK192" s="165"/>
      <c r="AL192" s="165"/>
      <c r="AM192" s="165"/>
      <c r="AN192" s="165"/>
      <c r="AO192" s="165"/>
      <c r="AP192" s="165"/>
      <c r="AQ192" s="165"/>
      <c r="AR192" s="165"/>
      <c r="AS192" s="165"/>
      <c r="AT192" s="165"/>
      <c r="AU192" s="165"/>
      <c r="AV192" s="165"/>
      <c r="AW192" s="165"/>
      <c r="AX192" s="165"/>
      <c r="AY192" s="165"/>
      <c r="AZ192" s="165"/>
      <c r="BA192" s="165"/>
      <c r="BB192" s="165"/>
      <c r="BC192" s="165"/>
      <c r="BD192" s="165"/>
      <c r="BE192" s="165"/>
      <c r="BF192" s="165"/>
      <c r="BG192" s="165"/>
      <c r="BH192" s="165"/>
      <c r="BI192" s="165"/>
      <c r="BJ192" s="165"/>
      <c r="BK192" s="167">
        <f>+SUM(N192:AA192)</f>
        <v>69502.265000000014</v>
      </c>
      <c r="BL192" s="167">
        <f>+AB192</f>
        <v>0</v>
      </c>
      <c r="BM192" s="167">
        <f>+SUM(AC192:AO192)</f>
        <v>0</v>
      </c>
      <c r="BN192" s="167">
        <f>+SUM(AP192:BJ192)</f>
        <v>0</v>
      </c>
    </row>
    <row r="193" spans="1:66" s="171" customFormat="1" hidden="1" outlineLevel="1" x14ac:dyDescent="0.3">
      <c r="A193" s="183"/>
      <c r="B193" s="183"/>
      <c r="C193" s="183" t="s">
        <v>63</v>
      </c>
      <c r="D193" s="183"/>
      <c r="E193" s="186" t="s">
        <v>3888</v>
      </c>
      <c r="F193" s="183" t="s">
        <v>63</v>
      </c>
      <c r="G193" s="186">
        <v>348</v>
      </c>
      <c r="H193" s="183"/>
      <c r="I193" s="718">
        <f>VLOOKUP('1 kari főtábla'!$I$1,'19.'!A:I,9,0)</f>
        <v>69502.264999999999</v>
      </c>
      <c r="J193" s="718">
        <f>SUM(N193:BA193)</f>
        <v>69502.265000000014</v>
      </c>
      <c r="K193" s="150">
        <f t="shared" ref="K193" si="187">+I193-J193</f>
        <v>0</v>
      </c>
      <c r="L193" s="150">
        <f>SUM(N193:BU193)</f>
        <v>69502.265000000014</v>
      </c>
      <c r="M193" s="175">
        <v>2</v>
      </c>
      <c r="N193" s="150">
        <f>IFERROR(VLOOKUP($M193,'1 b felosztások'!$A:$AE,'1 b felosztások'!C$2,0)*$I193,0)</f>
        <v>13128.205611111111</v>
      </c>
      <c r="O193" s="150">
        <f>IFERROR(VLOOKUP($M193,'1 b felosztások'!$A:$AE,'1 b felosztások'!D$2,0)*$I193,0)</f>
        <v>6950.2265000000007</v>
      </c>
      <c r="P193" s="150">
        <f>IFERROR(VLOOKUP($M193,'1 b felosztások'!$A:$AE,'1 b felosztások'!E$2,0)*$I193,0)</f>
        <v>1544.4947777777779</v>
      </c>
      <c r="Q193" s="150">
        <f>IFERROR(VLOOKUP($M193,'1 b felosztások'!$A:$AE,'1 b felosztások'!F$2,0)*$I193,0)</f>
        <v>7722.4738888888887</v>
      </c>
      <c r="R193" s="150">
        <f>IFERROR(VLOOKUP($M193,'1 b felosztások'!$A:$AE,'1 b felosztások'!G$2,0)*$I193,0)</f>
        <v>3088.9895555555559</v>
      </c>
      <c r="S193" s="150">
        <f>IFERROR(VLOOKUP($M193,'1 b felosztások'!$A:$AE,'1 b felosztások'!H$2,0)*$I193,0)</f>
        <v>4633.4843333333329</v>
      </c>
      <c r="T193" s="150">
        <f>IFERROR(VLOOKUP($M193,'1 b felosztások'!$A:$AE,'1 b felosztások'!I$2,0)*$I193,0)</f>
        <v>1544.4947777777779</v>
      </c>
      <c r="U193" s="150">
        <f>IFERROR(VLOOKUP($M193,'1 b felosztások'!$A:$AE,'1 b felosztások'!J$2,0)*$I193,0)</f>
        <v>4633.4843333333329</v>
      </c>
      <c r="V193" s="150">
        <f>IFERROR(VLOOKUP($M193,'1 b felosztások'!$A:$AE,'1 b felosztások'!K$2,0)*$I193,0)</f>
        <v>6177.9791111111117</v>
      </c>
      <c r="W193" s="150">
        <f>IFERROR(VLOOKUP($M193,'1 b felosztások'!$A:$AE,'1 b felosztások'!L$2,0)*$I193,0)</f>
        <v>6950.2265000000007</v>
      </c>
      <c r="X193" s="150">
        <f>IFERROR(VLOOKUP($M193,'1 b felosztások'!$A:$AE,'1 b felosztások'!M$2,0)*$I193,0)</f>
        <v>3861.2369444444444</v>
      </c>
      <c r="Y193" s="150">
        <f>IFERROR(VLOOKUP($M193,'1 b felosztások'!$A:$AE,'1 b felosztások'!N$2,0)*$I193,0)</f>
        <v>5405.7317222222218</v>
      </c>
      <c r="Z193" s="150">
        <f>IFERROR(VLOOKUP($M193,'1 b felosztások'!$A:$AE,'1 b felosztások'!O$2,0)*$I193,0)</f>
        <v>3861.2369444444444</v>
      </c>
      <c r="AA193" s="150">
        <f>IFERROR(VLOOKUP($M193,'1 b felosztások'!$A:$AE,'1 b felosztások'!P$2,0)*$I193,0)</f>
        <v>0</v>
      </c>
      <c r="AB193" s="150">
        <f>IFERROR(VLOOKUP($M193,'1 b felosztások'!$A:$AE,'1 b felosztások'!Q$2,0)*$I193,0)</f>
        <v>0</v>
      </c>
      <c r="AC193" s="165"/>
      <c r="AD193" s="165"/>
      <c r="AE193" s="165"/>
      <c r="AF193" s="165"/>
      <c r="AG193" s="165"/>
      <c r="AH193" s="165"/>
      <c r="AI193" s="165"/>
      <c r="AJ193" s="165"/>
      <c r="AK193" s="165"/>
      <c r="AL193" s="165"/>
      <c r="AM193" s="165"/>
      <c r="AN193" s="165"/>
      <c r="AO193" s="165"/>
      <c r="AP193" s="165"/>
      <c r="AQ193" s="165"/>
      <c r="AR193" s="165"/>
      <c r="AS193" s="165"/>
      <c r="AT193" s="165"/>
      <c r="AU193" s="165"/>
      <c r="AV193" s="165"/>
      <c r="AW193" s="165"/>
      <c r="AX193" s="165"/>
      <c r="AY193" s="165"/>
      <c r="AZ193" s="165"/>
      <c r="BA193" s="165"/>
      <c r="BB193" s="165"/>
      <c r="BC193" s="165"/>
      <c r="BD193" s="165"/>
      <c r="BE193" s="165"/>
      <c r="BF193" s="165"/>
      <c r="BG193" s="165"/>
      <c r="BH193" s="165"/>
      <c r="BI193" s="165"/>
      <c r="BJ193" s="165"/>
      <c r="BK193" s="167"/>
      <c r="BL193" s="167"/>
      <c r="BM193" s="167"/>
      <c r="BN193" s="167"/>
    </row>
    <row r="194" spans="1:66" s="171" customFormat="1" ht="24" customHeight="1" collapsed="1" x14ac:dyDescent="0.3">
      <c r="A194" s="183"/>
      <c r="B194" s="716" t="s">
        <v>2659</v>
      </c>
      <c r="C194" s="183" t="s">
        <v>63</v>
      </c>
      <c r="D194" s="183" t="s">
        <v>2864</v>
      </c>
      <c r="E194" s="183" t="s">
        <v>2659</v>
      </c>
      <c r="F194" s="183"/>
      <c r="G194" s="183"/>
      <c r="H194" s="183" t="s">
        <v>2617</v>
      </c>
      <c r="I194" s="718">
        <f>+I195+I201</f>
        <v>0</v>
      </c>
      <c r="J194" s="718">
        <f t="shared" ref="J194:J211" si="188">SUM(N194:AO194)</f>
        <v>-70221767.999999985</v>
      </c>
      <c r="K194" s="165">
        <f t="shared" si="49"/>
        <v>70221767.999999985</v>
      </c>
      <c r="L194" s="165">
        <f t="shared" ref="L194:L226" si="189">SUM(N194:BJ194)</f>
        <v>-70221767.999999985</v>
      </c>
      <c r="M194" s="166"/>
      <c r="N194" s="165">
        <f>+N195+N201</f>
        <v>-18954140.433442079</v>
      </c>
      <c r="O194" s="165">
        <f>+O195+O201</f>
        <v>-2936263.679849436</v>
      </c>
      <c r="P194" s="165">
        <f t="shared" ref="P194:Y194" si="190">+P195+P201</f>
        <v>-628956.41863655369</v>
      </c>
      <c r="Q194" s="165">
        <f t="shared" si="190"/>
        <v>-3533301.3451275616</v>
      </c>
      <c r="R194" s="165">
        <f t="shared" si="190"/>
        <v>-1363872.633258051</v>
      </c>
      <c r="S194" s="165">
        <f t="shared" si="190"/>
        <v>-2663907.7597992471</v>
      </c>
      <c r="T194" s="165">
        <f t="shared" si="190"/>
        <v>-1829834.1064659138</v>
      </c>
      <c r="U194" s="165">
        <f t="shared" si="190"/>
        <v>-3264346.6037139278</v>
      </c>
      <c r="V194" s="165">
        <f t="shared" si="190"/>
        <v>-4882261.1182099534</v>
      </c>
      <c r="W194" s="165">
        <f t="shared" si="190"/>
        <v>-11788539.79578419</v>
      </c>
      <c r="X194" s="165">
        <f t="shared" si="190"/>
        <v>-9445895.5226265155</v>
      </c>
      <c r="Y194" s="165">
        <f t="shared" si="190"/>
        <v>-7252097.7405102458</v>
      </c>
      <c r="Z194" s="165">
        <f>+Z195+Z201</f>
        <v>-1678350.842576328</v>
      </c>
      <c r="AA194" s="165"/>
      <c r="AB194" s="165">
        <f>+AB195+AB201</f>
        <v>0</v>
      </c>
      <c r="AC194" s="165"/>
      <c r="AD194" s="165"/>
      <c r="AE194" s="165"/>
      <c r="AF194" s="165"/>
      <c r="AG194" s="165"/>
      <c r="AH194" s="165"/>
      <c r="AI194" s="165"/>
      <c r="AJ194" s="165"/>
      <c r="AK194" s="165"/>
      <c r="AL194" s="165">
        <f>+AL195+AL201</f>
        <v>0</v>
      </c>
      <c r="AM194" s="165">
        <f t="shared" ref="AM194:AN194" si="191">+AM195+AM201</f>
        <v>0</v>
      </c>
      <c r="AN194" s="165">
        <f t="shared" si="191"/>
        <v>0</v>
      </c>
      <c r="AO194" s="165">
        <f>+AO195+AO201</f>
        <v>0</v>
      </c>
      <c r="AP194" s="150"/>
      <c r="AQ194" s="150"/>
      <c r="AR194" s="150"/>
      <c r="AS194" s="150"/>
      <c r="AT194" s="150"/>
      <c r="AU194" s="150"/>
      <c r="AV194" s="150"/>
      <c r="AW194" s="150"/>
      <c r="AX194" s="150"/>
      <c r="AY194" s="150"/>
      <c r="AZ194" s="150"/>
      <c r="BA194" s="150"/>
      <c r="BB194" s="150"/>
      <c r="BC194" s="170"/>
      <c r="BD194" s="170"/>
      <c r="BE194" s="170"/>
      <c r="BF194" s="170"/>
      <c r="BG194" s="170"/>
      <c r="BH194" s="170"/>
      <c r="BI194" s="170"/>
      <c r="BJ194" s="170"/>
      <c r="BK194" s="313">
        <f t="shared" ref="BK194:BK258" si="192">+SUM(N194:AA194)</f>
        <v>-70221767.999999985</v>
      </c>
      <c r="BL194" s="313">
        <f t="shared" ref="BL194:BL258" si="193">+AB194</f>
        <v>0</v>
      </c>
      <c r="BM194" s="313">
        <f t="shared" ref="BM194:BM258" si="194">+SUM(AC194:AO194)</f>
        <v>0</v>
      </c>
      <c r="BN194" s="313">
        <f t="shared" ref="BN194:BN258" si="195">+SUM(AP194:BJ194)</f>
        <v>0</v>
      </c>
    </row>
    <row r="195" spans="1:66" s="171" customFormat="1" hidden="1" outlineLevel="1" x14ac:dyDescent="0.3">
      <c r="A195" s="183"/>
      <c r="B195" s="183"/>
      <c r="C195" s="183"/>
      <c r="D195" s="183"/>
      <c r="E195" s="183" t="s">
        <v>2660</v>
      </c>
      <c r="F195" s="186"/>
      <c r="G195" s="183"/>
      <c r="H195" s="183" t="s">
        <v>2661</v>
      </c>
      <c r="I195" s="718">
        <v>0</v>
      </c>
      <c r="J195" s="718">
        <f t="shared" si="188"/>
        <v>0</v>
      </c>
      <c r="K195" s="150">
        <f t="shared" si="49"/>
        <v>0</v>
      </c>
      <c r="L195" s="150">
        <f t="shared" si="189"/>
        <v>0</v>
      </c>
      <c r="M195" s="166"/>
      <c r="N195" s="150">
        <f>SUM(N196:N200)</f>
        <v>0</v>
      </c>
      <c r="O195" s="150">
        <f>SUM(O196:O200)</f>
        <v>0</v>
      </c>
      <c r="P195" s="150">
        <f t="shared" ref="P195:Y195" si="196">SUM(P196:P200)</f>
        <v>0</v>
      </c>
      <c r="Q195" s="150">
        <f t="shared" si="196"/>
        <v>0</v>
      </c>
      <c r="R195" s="150">
        <f t="shared" si="196"/>
        <v>0</v>
      </c>
      <c r="S195" s="150">
        <f t="shared" si="196"/>
        <v>0</v>
      </c>
      <c r="T195" s="150">
        <f t="shared" si="196"/>
        <v>0</v>
      </c>
      <c r="U195" s="150">
        <f t="shared" si="196"/>
        <v>0</v>
      </c>
      <c r="V195" s="150">
        <f t="shared" si="196"/>
        <v>0</v>
      </c>
      <c r="W195" s="150">
        <f t="shared" si="196"/>
        <v>0</v>
      </c>
      <c r="X195" s="150">
        <f t="shared" si="196"/>
        <v>0</v>
      </c>
      <c r="Y195" s="150">
        <f t="shared" si="196"/>
        <v>0</v>
      </c>
      <c r="Z195" s="150">
        <f>SUM(Z196:Z200)</f>
        <v>0</v>
      </c>
      <c r="AA195" s="150">
        <f>SUM(AA196:AA200)</f>
        <v>0</v>
      </c>
      <c r="AB195" s="150">
        <f>SUM(AB196:AB200)</f>
        <v>0</v>
      </c>
      <c r="AC195" s="150"/>
      <c r="AD195" s="150"/>
      <c r="AE195" s="150"/>
      <c r="AF195" s="150"/>
      <c r="AG195" s="150"/>
      <c r="AH195" s="150"/>
      <c r="AI195" s="150"/>
      <c r="AJ195" s="150"/>
      <c r="AK195" s="150"/>
      <c r="AL195" s="150">
        <f>SUM(AL196:AL200)</f>
        <v>0</v>
      </c>
      <c r="AM195" s="150">
        <f t="shared" ref="AM195:AN195" si="197">SUM(AM196:AM200)</f>
        <v>0</v>
      </c>
      <c r="AN195" s="150">
        <f t="shared" si="197"/>
        <v>0</v>
      </c>
      <c r="AO195" s="150">
        <f>SUM(AO196:AO200)</f>
        <v>0</v>
      </c>
      <c r="AP195" s="150"/>
      <c r="AQ195" s="150"/>
      <c r="AR195" s="150"/>
      <c r="AS195" s="150"/>
      <c r="AT195" s="150"/>
      <c r="AU195" s="150"/>
      <c r="AV195" s="150"/>
      <c r="AW195" s="150"/>
      <c r="AX195" s="150"/>
      <c r="AY195" s="150"/>
      <c r="AZ195" s="150"/>
      <c r="BA195" s="150"/>
      <c r="BB195" s="150"/>
      <c r="BC195" s="170"/>
      <c r="BD195" s="170"/>
      <c r="BE195" s="170"/>
      <c r="BF195" s="170"/>
      <c r="BG195" s="170"/>
      <c r="BH195" s="170"/>
      <c r="BI195" s="170"/>
      <c r="BJ195" s="170"/>
      <c r="BK195" s="167">
        <f t="shared" si="192"/>
        <v>0</v>
      </c>
      <c r="BL195" s="167">
        <f t="shared" si="193"/>
        <v>0</v>
      </c>
      <c r="BM195" s="167">
        <f t="shared" si="194"/>
        <v>0</v>
      </c>
      <c r="BN195" s="167">
        <f t="shared" si="195"/>
        <v>0</v>
      </c>
    </row>
    <row r="196" spans="1:66" s="171" customFormat="1" hidden="1" outlineLevel="1" x14ac:dyDescent="0.3">
      <c r="A196" s="183"/>
      <c r="B196" s="183"/>
      <c r="C196" s="183"/>
      <c r="D196" s="183"/>
      <c r="E196" s="186" t="s">
        <v>3275</v>
      </c>
      <c r="F196" s="186" t="s">
        <v>65</v>
      </c>
      <c r="G196" s="183"/>
      <c r="H196" s="717" t="s">
        <v>3276</v>
      </c>
      <c r="I196" s="242">
        <v>0</v>
      </c>
      <c r="J196" s="718">
        <f t="shared" si="188"/>
        <v>0</v>
      </c>
      <c r="K196" s="150">
        <f t="shared" si="49"/>
        <v>0</v>
      </c>
      <c r="L196" s="150">
        <f t="shared" si="189"/>
        <v>0</v>
      </c>
      <c r="M196" s="173"/>
      <c r="N196" s="150"/>
      <c r="O196" s="150"/>
      <c r="P196" s="150"/>
      <c r="Q196" s="150"/>
      <c r="R196" s="150"/>
      <c r="S196" s="150"/>
      <c r="T196" s="150"/>
      <c r="U196" s="150"/>
      <c r="V196" s="150"/>
      <c r="W196" s="150"/>
      <c r="X196" s="150"/>
      <c r="Y196" s="150"/>
      <c r="Z196" s="150"/>
      <c r="AA196" s="150"/>
      <c r="AB196" s="150"/>
      <c r="AC196" s="150"/>
      <c r="AD196" s="150"/>
      <c r="AE196" s="150"/>
      <c r="AF196" s="150"/>
      <c r="AG196" s="150"/>
      <c r="AH196" s="150"/>
      <c r="AI196" s="150"/>
      <c r="AJ196" s="150"/>
      <c r="AK196" s="150"/>
      <c r="AL196" s="150"/>
      <c r="AM196" s="150"/>
      <c r="AN196" s="150"/>
      <c r="AO196" s="150"/>
      <c r="AP196" s="150"/>
      <c r="AQ196" s="150"/>
      <c r="AR196" s="150"/>
      <c r="AS196" s="150"/>
      <c r="AT196" s="150"/>
      <c r="AU196" s="150"/>
      <c r="AV196" s="150"/>
      <c r="AW196" s="150"/>
      <c r="AX196" s="150"/>
      <c r="AY196" s="150"/>
      <c r="AZ196" s="150"/>
      <c r="BA196" s="150"/>
      <c r="BB196" s="150"/>
      <c r="BC196" s="170"/>
      <c r="BD196" s="170"/>
      <c r="BE196" s="170"/>
      <c r="BF196" s="170"/>
      <c r="BG196" s="170"/>
      <c r="BH196" s="170"/>
      <c r="BI196" s="170"/>
      <c r="BJ196" s="170"/>
      <c r="BK196" s="167">
        <f t="shared" si="192"/>
        <v>0</v>
      </c>
      <c r="BL196" s="167">
        <f t="shared" si="193"/>
        <v>0</v>
      </c>
      <c r="BM196" s="167">
        <f t="shared" si="194"/>
        <v>0</v>
      </c>
      <c r="BN196" s="167">
        <f t="shared" si="195"/>
        <v>0</v>
      </c>
    </row>
    <row r="197" spans="1:66" s="171" customFormat="1" hidden="1" outlineLevel="1" x14ac:dyDescent="0.3">
      <c r="A197" s="183"/>
      <c r="B197" s="183"/>
      <c r="C197" s="183"/>
      <c r="D197" s="183"/>
      <c r="E197" s="186" t="s">
        <v>3277</v>
      </c>
      <c r="F197" s="186" t="s">
        <v>65</v>
      </c>
      <c r="G197" s="183"/>
      <c r="H197" s="717" t="s">
        <v>3276</v>
      </c>
      <c r="I197" s="242">
        <v>0</v>
      </c>
      <c r="J197" s="718">
        <f t="shared" si="188"/>
        <v>0</v>
      </c>
      <c r="K197" s="150">
        <f t="shared" si="49"/>
        <v>0</v>
      </c>
      <c r="L197" s="150">
        <f t="shared" si="189"/>
        <v>0</v>
      </c>
      <c r="M197" s="173"/>
      <c r="N197" s="150"/>
      <c r="O197" s="150"/>
      <c r="P197" s="150"/>
      <c r="Q197" s="150"/>
      <c r="R197" s="150"/>
      <c r="S197" s="150"/>
      <c r="T197" s="150"/>
      <c r="U197" s="150"/>
      <c r="V197" s="150"/>
      <c r="W197" s="150"/>
      <c r="X197" s="150"/>
      <c r="Y197" s="150"/>
      <c r="Z197" s="150"/>
      <c r="AA197" s="150"/>
      <c r="AB197" s="150"/>
      <c r="AC197" s="150"/>
      <c r="AD197" s="150"/>
      <c r="AE197" s="150"/>
      <c r="AF197" s="150"/>
      <c r="AG197" s="150"/>
      <c r="AH197" s="150"/>
      <c r="AI197" s="150"/>
      <c r="AJ197" s="150"/>
      <c r="AK197" s="150"/>
      <c r="AL197" s="150"/>
      <c r="AM197" s="150"/>
      <c r="AN197" s="150"/>
      <c r="AO197" s="150"/>
      <c r="AP197" s="150"/>
      <c r="AQ197" s="150"/>
      <c r="AR197" s="150"/>
      <c r="AS197" s="150"/>
      <c r="AT197" s="150"/>
      <c r="AU197" s="150"/>
      <c r="AV197" s="150"/>
      <c r="AW197" s="150"/>
      <c r="AX197" s="150"/>
      <c r="AY197" s="150"/>
      <c r="AZ197" s="150"/>
      <c r="BA197" s="150"/>
      <c r="BB197" s="150"/>
      <c r="BC197" s="170"/>
      <c r="BD197" s="170"/>
      <c r="BE197" s="170"/>
      <c r="BF197" s="170"/>
      <c r="BG197" s="170"/>
      <c r="BH197" s="170"/>
      <c r="BI197" s="170"/>
      <c r="BJ197" s="170"/>
      <c r="BK197" s="167">
        <f t="shared" si="192"/>
        <v>0</v>
      </c>
      <c r="BL197" s="167">
        <f t="shared" si="193"/>
        <v>0</v>
      </c>
      <c r="BM197" s="167">
        <f t="shared" si="194"/>
        <v>0</v>
      </c>
      <c r="BN197" s="167">
        <f t="shared" si="195"/>
        <v>0</v>
      </c>
    </row>
    <row r="198" spans="1:66" s="171" customFormat="1" hidden="1" outlineLevel="1" x14ac:dyDescent="0.3">
      <c r="A198" s="183"/>
      <c r="B198" s="183"/>
      <c r="C198" s="183"/>
      <c r="D198" s="183"/>
      <c r="E198" s="186" t="s">
        <v>3278</v>
      </c>
      <c r="F198" s="186" t="s">
        <v>65</v>
      </c>
      <c r="G198" s="183"/>
      <c r="H198" s="717" t="s">
        <v>3276</v>
      </c>
      <c r="I198" s="242">
        <v>0</v>
      </c>
      <c r="J198" s="718">
        <f t="shared" si="188"/>
        <v>0</v>
      </c>
      <c r="K198" s="150">
        <f t="shared" si="49"/>
        <v>0</v>
      </c>
      <c r="L198" s="150">
        <f t="shared" si="189"/>
        <v>0</v>
      </c>
      <c r="M198" s="173"/>
      <c r="N198" s="150"/>
      <c r="O198" s="150"/>
      <c r="P198" s="150"/>
      <c r="Q198" s="150"/>
      <c r="R198" s="150"/>
      <c r="S198" s="150"/>
      <c r="T198" s="150"/>
      <c r="U198" s="150"/>
      <c r="V198" s="150"/>
      <c r="W198" s="150"/>
      <c r="X198" s="150"/>
      <c r="Y198" s="150"/>
      <c r="Z198" s="150"/>
      <c r="AA198" s="150"/>
      <c r="AB198" s="150"/>
      <c r="AC198" s="150"/>
      <c r="AD198" s="150"/>
      <c r="AE198" s="150"/>
      <c r="AF198" s="150"/>
      <c r="AG198" s="150"/>
      <c r="AH198" s="150"/>
      <c r="AI198" s="150"/>
      <c r="AJ198" s="150"/>
      <c r="AK198" s="150"/>
      <c r="AL198" s="150"/>
      <c r="AM198" s="150"/>
      <c r="AN198" s="150"/>
      <c r="AO198" s="150"/>
      <c r="AP198" s="150"/>
      <c r="AQ198" s="150"/>
      <c r="AR198" s="150"/>
      <c r="AS198" s="150"/>
      <c r="AT198" s="150"/>
      <c r="AU198" s="150"/>
      <c r="AV198" s="150"/>
      <c r="AW198" s="150"/>
      <c r="AX198" s="150"/>
      <c r="AY198" s="150"/>
      <c r="AZ198" s="150"/>
      <c r="BA198" s="150"/>
      <c r="BB198" s="150"/>
      <c r="BC198" s="170"/>
      <c r="BD198" s="170"/>
      <c r="BE198" s="170"/>
      <c r="BF198" s="170"/>
      <c r="BG198" s="170"/>
      <c r="BH198" s="170"/>
      <c r="BI198" s="170"/>
      <c r="BJ198" s="170"/>
      <c r="BK198" s="167">
        <f t="shared" si="192"/>
        <v>0</v>
      </c>
      <c r="BL198" s="167">
        <f t="shared" si="193"/>
        <v>0</v>
      </c>
      <c r="BM198" s="167">
        <f t="shared" si="194"/>
        <v>0</v>
      </c>
      <c r="BN198" s="167">
        <f t="shared" si="195"/>
        <v>0</v>
      </c>
    </row>
    <row r="199" spans="1:66" s="171" customFormat="1" hidden="1" outlineLevel="1" x14ac:dyDescent="0.3">
      <c r="A199" s="183"/>
      <c r="B199" s="183"/>
      <c r="C199" s="183"/>
      <c r="D199" s="183"/>
      <c r="E199" s="186" t="s">
        <v>3279</v>
      </c>
      <c r="F199" s="186" t="s">
        <v>65</v>
      </c>
      <c r="G199" s="183"/>
      <c r="H199" s="717" t="s">
        <v>3276</v>
      </c>
      <c r="I199" s="242">
        <v>0</v>
      </c>
      <c r="J199" s="718">
        <f t="shared" si="188"/>
        <v>0</v>
      </c>
      <c r="K199" s="150">
        <f t="shared" si="49"/>
        <v>0</v>
      </c>
      <c r="L199" s="150">
        <f t="shared" si="189"/>
        <v>0</v>
      </c>
      <c r="M199" s="173"/>
      <c r="N199" s="150"/>
      <c r="O199" s="150"/>
      <c r="P199" s="150"/>
      <c r="Q199" s="150"/>
      <c r="R199" s="150"/>
      <c r="S199" s="150"/>
      <c r="T199" s="150"/>
      <c r="U199" s="150"/>
      <c r="V199" s="150"/>
      <c r="W199" s="150"/>
      <c r="X199" s="150"/>
      <c r="Y199" s="150"/>
      <c r="Z199" s="150"/>
      <c r="AA199" s="150"/>
      <c r="AB199" s="150"/>
      <c r="AC199" s="150"/>
      <c r="AD199" s="150"/>
      <c r="AE199" s="150"/>
      <c r="AF199" s="150"/>
      <c r="AG199" s="150"/>
      <c r="AH199" s="150"/>
      <c r="AI199" s="150"/>
      <c r="AJ199" s="150"/>
      <c r="AK199" s="150"/>
      <c r="AL199" s="150"/>
      <c r="AM199" s="150"/>
      <c r="AN199" s="150"/>
      <c r="AO199" s="150"/>
      <c r="AP199" s="150"/>
      <c r="AQ199" s="150"/>
      <c r="AR199" s="150"/>
      <c r="AS199" s="150"/>
      <c r="AT199" s="150"/>
      <c r="AU199" s="150"/>
      <c r="AV199" s="150"/>
      <c r="AW199" s="150"/>
      <c r="AX199" s="150"/>
      <c r="AY199" s="150"/>
      <c r="AZ199" s="150"/>
      <c r="BA199" s="150"/>
      <c r="BB199" s="150"/>
      <c r="BC199" s="170"/>
      <c r="BD199" s="170"/>
      <c r="BE199" s="170"/>
      <c r="BF199" s="170"/>
      <c r="BG199" s="170"/>
      <c r="BH199" s="170"/>
      <c r="BI199" s="170"/>
      <c r="BJ199" s="170"/>
      <c r="BK199" s="167">
        <f t="shared" si="192"/>
        <v>0</v>
      </c>
      <c r="BL199" s="167">
        <f t="shared" si="193"/>
        <v>0</v>
      </c>
      <c r="BM199" s="167">
        <f t="shared" si="194"/>
        <v>0</v>
      </c>
      <c r="BN199" s="167">
        <f t="shared" si="195"/>
        <v>0</v>
      </c>
    </row>
    <row r="200" spans="1:66" s="171" customFormat="1" hidden="1" outlineLevel="1" x14ac:dyDescent="0.3">
      <c r="A200" s="183"/>
      <c r="B200" s="183"/>
      <c r="C200" s="183"/>
      <c r="D200" s="183"/>
      <c r="E200" s="186" t="s">
        <v>3280</v>
      </c>
      <c r="F200" s="186" t="s">
        <v>65</v>
      </c>
      <c r="G200" s="183"/>
      <c r="H200" s="717" t="s">
        <v>3276</v>
      </c>
      <c r="I200" s="242">
        <v>0</v>
      </c>
      <c r="J200" s="718">
        <f t="shared" si="188"/>
        <v>0</v>
      </c>
      <c r="K200" s="150">
        <f t="shared" ref="K200" si="198">+I200-J200</f>
        <v>0</v>
      </c>
      <c r="L200" s="150">
        <f t="shared" si="189"/>
        <v>0</v>
      </c>
      <c r="M200" s="173"/>
      <c r="N200" s="150"/>
      <c r="O200" s="150"/>
      <c r="P200" s="150"/>
      <c r="Q200" s="150"/>
      <c r="R200" s="150"/>
      <c r="S200" s="150"/>
      <c r="T200" s="150"/>
      <c r="U200" s="150"/>
      <c r="V200" s="150"/>
      <c r="W200" s="150"/>
      <c r="X200" s="150"/>
      <c r="Y200" s="150"/>
      <c r="Z200" s="150"/>
      <c r="AA200" s="150"/>
      <c r="AB200" s="150"/>
      <c r="AC200" s="150"/>
      <c r="AD200" s="150"/>
      <c r="AE200" s="150"/>
      <c r="AF200" s="150"/>
      <c r="AG200" s="150"/>
      <c r="AH200" s="150"/>
      <c r="AI200" s="150"/>
      <c r="AJ200" s="150"/>
      <c r="AK200" s="150"/>
      <c r="AL200" s="150"/>
      <c r="AM200" s="150"/>
      <c r="AN200" s="150"/>
      <c r="AO200" s="150"/>
      <c r="AP200" s="150"/>
      <c r="AQ200" s="150"/>
      <c r="AR200" s="150"/>
      <c r="AS200" s="150"/>
      <c r="AT200" s="150"/>
      <c r="AU200" s="150"/>
      <c r="AV200" s="150"/>
      <c r="AW200" s="150"/>
      <c r="AX200" s="150"/>
      <c r="AY200" s="150"/>
      <c r="AZ200" s="150"/>
      <c r="BA200" s="150"/>
      <c r="BB200" s="150"/>
      <c r="BC200" s="170"/>
      <c r="BD200" s="170"/>
      <c r="BE200" s="170"/>
      <c r="BF200" s="170"/>
      <c r="BG200" s="170"/>
      <c r="BH200" s="170"/>
      <c r="BI200" s="170"/>
      <c r="BJ200" s="170"/>
      <c r="BK200" s="167">
        <f t="shared" si="192"/>
        <v>0</v>
      </c>
      <c r="BL200" s="167">
        <f t="shared" si="193"/>
        <v>0</v>
      </c>
      <c r="BM200" s="167">
        <f t="shared" si="194"/>
        <v>0</v>
      </c>
      <c r="BN200" s="167">
        <f t="shared" si="195"/>
        <v>0</v>
      </c>
    </row>
    <row r="201" spans="1:66" s="171" customFormat="1" hidden="1" outlineLevel="1" x14ac:dyDescent="0.3">
      <c r="A201" s="183"/>
      <c r="B201" s="183"/>
      <c r="C201" s="183"/>
      <c r="D201" s="183"/>
      <c r="E201" s="183" t="s">
        <v>2662</v>
      </c>
      <c r="F201" s="183"/>
      <c r="G201" s="183"/>
      <c r="H201" s="183" t="s">
        <v>2617</v>
      </c>
      <c r="I201" s="718">
        <f>+I202+I205</f>
        <v>0</v>
      </c>
      <c r="J201" s="718">
        <f t="shared" si="188"/>
        <v>1.4901161193847656E-8</v>
      </c>
      <c r="K201" s="150">
        <f t="shared" si="49"/>
        <v>-1.4901161193847656E-8</v>
      </c>
      <c r="L201" s="150">
        <f t="shared" si="189"/>
        <v>1.4901161193847656E-8</v>
      </c>
      <c r="M201" s="166"/>
      <c r="N201" s="150">
        <f>+N202+N205</f>
        <v>-18954140.433442079</v>
      </c>
      <c r="O201" s="150">
        <f>+O202+O205</f>
        <v>-2936263.679849436</v>
      </c>
      <c r="P201" s="150">
        <f t="shared" ref="P201:Y201" si="199">+P202+P205</f>
        <v>-628956.41863655369</v>
      </c>
      <c r="Q201" s="150">
        <f t="shared" si="199"/>
        <v>-3533301.3451275616</v>
      </c>
      <c r="R201" s="150">
        <f t="shared" si="199"/>
        <v>-1363872.633258051</v>
      </c>
      <c r="S201" s="150">
        <f t="shared" si="199"/>
        <v>-2663907.7597992471</v>
      </c>
      <c r="T201" s="150">
        <f t="shared" si="199"/>
        <v>-1829834.1064659138</v>
      </c>
      <c r="U201" s="150">
        <f t="shared" si="199"/>
        <v>-3264346.6037139278</v>
      </c>
      <c r="V201" s="150">
        <f t="shared" si="199"/>
        <v>-4882261.1182099534</v>
      </c>
      <c r="W201" s="150">
        <f t="shared" si="199"/>
        <v>-11788539.79578419</v>
      </c>
      <c r="X201" s="150">
        <f t="shared" si="199"/>
        <v>-9445895.5226265155</v>
      </c>
      <c r="Y201" s="150">
        <f t="shared" si="199"/>
        <v>-7252097.7405102458</v>
      </c>
      <c r="Z201" s="150">
        <f>+Z202+Z205</f>
        <v>-1678350.842576328</v>
      </c>
      <c r="AA201" s="150">
        <f>+AA202+AA205</f>
        <v>46916643</v>
      </c>
      <c r="AB201" s="150">
        <f>+AB202+AB205</f>
        <v>0</v>
      </c>
      <c r="AC201" s="150">
        <f t="shared" ref="AC201:AE201" si="200">+AC202+AC205</f>
        <v>0</v>
      </c>
      <c r="AD201" s="150">
        <f t="shared" si="200"/>
        <v>0</v>
      </c>
      <c r="AE201" s="150">
        <f t="shared" si="200"/>
        <v>0</v>
      </c>
      <c r="AF201" s="150">
        <f t="shared" ref="AF201" si="201">+AF202+AF205</f>
        <v>0</v>
      </c>
      <c r="AG201" s="150">
        <f t="shared" ref="AG201" si="202">+AG202+AG205</f>
        <v>23305125</v>
      </c>
      <c r="AH201" s="150">
        <f t="shared" ref="AH201:AL201" si="203">+AH202+AH205</f>
        <v>0</v>
      </c>
      <c r="AI201" s="150">
        <f t="shared" si="203"/>
        <v>0</v>
      </c>
      <c r="AJ201" s="150">
        <f t="shared" si="203"/>
        <v>0</v>
      </c>
      <c r="AK201" s="150">
        <f t="shared" si="203"/>
        <v>0</v>
      </c>
      <c r="AL201" s="150">
        <f t="shared" si="203"/>
        <v>0</v>
      </c>
      <c r="AM201" s="150">
        <f t="shared" ref="AM201:AN201" si="204">+AM202+AM205</f>
        <v>0</v>
      </c>
      <c r="AN201" s="150">
        <f t="shared" si="204"/>
        <v>0</v>
      </c>
      <c r="AO201" s="150">
        <f>+AO202+AO205</f>
        <v>0</v>
      </c>
      <c r="AP201" s="150"/>
      <c r="AQ201" s="150"/>
      <c r="AR201" s="150"/>
      <c r="AS201" s="150"/>
      <c r="AT201" s="150"/>
      <c r="AU201" s="150"/>
      <c r="AV201" s="150"/>
      <c r="AW201" s="150"/>
      <c r="AX201" s="150"/>
      <c r="AY201" s="150"/>
      <c r="AZ201" s="150"/>
      <c r="BA201" s="150"/>
      <c r="BB201" s="150"/>
      <c r="BC201" s="170"/>
      <c r="BD201" s="170"/>
      <c r="BE201" s="170"/>
      <c r="BF201" s="170"/>
      <c r="BG201" s="170"/>
      <c r="BH201" s="170"/>
      <c r="BI201" s="170"/>
      <c r="BJ201" s="170"/>
      <c r="BK201" s="167">
        <f t="shared" si="192"/>
        <v>-23305124.999999985</v>
      </c>
      <c r="BL201" s="167">
        <f t="shared" si="193"/>
        <v>0</v>
      </c>
      <c r="BM201" s="167">
        <f t="shared" si="194"/>
        <v>23305125</v>
      </c>
      <c r="BN201" s="167">
        <f t="shared" si="195"/>
        <v>0</v>
      </c>
    </row>
    <row r="202" spans="1:66" s="171" customFormat="1" hidden="1" outlineLevel="1" x14ac:dyDescent="0.3">
      <c r="A202" s="183"/>
      <c r="B202" s="183"/>
      <c r="C202" s="183"/>
      <c r="D202" s="183"/>
      <c r="E202" s="183" t="s">
        <v>2663</v>
      </c>
      <c r="F202" s="183"/>
      <c r="G202" s="183"/>
      <c r="H202" s="183" t="s">
        <v>2617</v>
      </c>
      <c r="I202" s="718">
        <f>SUM(I203:I204)</f>
        <v>0</v>
      </c>
      <c r="J202" s="718">
        <f t="shared" si="188"/>
        <v>0</v>
      </c>
      <c r="K202" s="150">
        <f t="shared" si="49"/>
        <v>0</v>
      </c>
      <c r="L202" s="150">
        <f t="shared" si="189"/>
        <v>0</v>
      </c>
      <c r="M202" s="166"/>
      <c r="N202" s="150">
        <f>SUM(N203:N204)</f>
        <v>0</v>
      </c>
      <c r="O202" s="150">
        <f>SUM(O203:O204)</f>
        <v>0</v>
      </c>
      <c r="P202" s="150">
        <f t="shared" ref="P202:Y202" si="205">SUM(P203:P204)</f>
        <v>0</v>
      </c>
      <c r="Q202" s="150">
        <f t="shared" si="205"/>
        <v>0</v>
      </c>
      <c r="R202" s="150">
        <f t="shared" si="205"/>
        <v>0</v>
      </c>
      <c r="S202" s="150">
        <f t="shared" si="205"/>
        <v>0</v>
      </c>
      <c r="T202" s="150">
        <f t="shared" si="205"/>
        <v>0</v>
      </c>
      <c r="U202" s="150">
        <f t="shared" si="205"/>
        <v>0</v>
      </c>
      <c r="V202" s="150">
        <f t="shared" si="205"/>
        <v>0</v>
      </c>
      <c r="W202" s="150">
        <f t="shared" si="205"/>
        <v>0</v>
      </c>
      <c r="X202" s="150">
        <f t="shared" si="205"/>
        <v>0</v>
      </c>
      <c r="Y202" s="150">
        <f t="shared" si="205"/>
        <v>0</v>
      </c>
      <c r="Z202" s="150">
        <f>SUM(Z203:Z204)</f>
        <v>0</v>
      </c>
      <c r="AA202" s="150">
        <f>SUM(AA203:AA204)</f>
        <v>0</v>
      </c>
      <c r="AB202" s="150">
        <f>SUM(AB203:AB204)</f>
        <v>0</v>
      </c>
      <c r="AC202" s="150">
        <f t="shared" ref="AC202:AE202" si="206">SUM(AC203:AC204)</f>
        <v>0</v>
      </c>
      <c r="AD202" s="150">
        <f t="shared" si="206"/>
        <v>0</v>
      </c>
      <c r="AE202" s="150">
        <f t="shared" si="206"/>
        <v>0</v>
      </c>
      <c r="AF202" s="150">
        <f t="shared" ref="AF202" si="207">SUM(AF203:AF204)</f>
        <v>0</v>
      </c>
      <c r="AG202" s="150">
        <f t="shared" ref="AG202" si="208">SUM(AG203:AG204)</f>
        <v>0</v>
      </c>
      <c r="AH202" s="150">
        <f t="shared" ref="AH202:AL202" si="209">SUM(AH203:AH204)</f>
        <v>0</v>
      </c>
      <c r="AI202" s="150">
        <f t="shared" si="209"/>
        <v>0</v>
      </c>
      <c r="AJ202" s="150">
        <f t="shared" si="209"/>
        <v>0</v>
      </c>
      <c r="AK202" s="150">
        <f t="shared" si="209"/>
        <v>0</v>
      </c>
      <c r="AL202" s="150">
        <f t="shared" si="209"/>
        <v>0</v>
      </c>
      <c r="AM202" s="150">
        <f t="shared" ref="AM202:AN202" si="210">SUM(AM203:AM204)</f>
        <v>0</v>
      </c>
      <c r="AN202" s="150">
        <f t="shared" si="210"/>
        <v>0</v>
      </c>
      <c r="AO202" s="150">
        <f>SUM(AO203:AO204)</f>
        <v>0</v>
      </c>
      <c r="AP202" s="150"/>
      <c r="AQ202" s="150"/>
      <c r="AR202" s="150"/>
      <c r="AS202" s="150"/>
      <c r="AT202" s="150"/>
      <c r="AU202" s="150"/>
      <c r="AV202" s="150"/>
      <c r="AW202" s="150"/>
      <c r="AX202" s="150"/>
      <c r="AY202" s="150"/>
      <c r="AZ202" s="150"/>
      <c r="BA202" s="150"/>
      <c r="BB202" s="150"/>
      <c r="BC202" s="170"/>
      <c r="BD202" s="170"/>
      <c r="BE202" s="170"/>
      <c r="BF202" s="170"/>
      <c r="BG202" s="170"/>
      <c r="BH202" s="170"/>
      <c r="BI202" s="170"/>
      <c r="BJ202" s="170"/>
      <c r="BK202" s="167">
        <f t="shared" si="192"/>
        <v>0</v>
      </c>
      <c r="BL202" s="167">
        <f t="shared" si="193"/>
        <v>0</v>
      </c>
      <c r="BM202" s="167">
        <f t="shared" si="194"/>
        <v>0</v>
      </c>
      <c r="BN202" s="167">
        <f t="shared" si="195"/>
        <v>0</v>
      </c>
    </row>
    <row r="203" spans="1:66" s="171" customFormat="1" hidden="1" outlineLevel="1" x14ac:dyDescent="0.3">
      <c r="A203" s="186"/>
      <c r="B203" s="186"/>
      <c r="C203" s="186"/>
      <c r="D203" s="186"/>
      <c r="E203" s="186" t="s">
        <v>3275</v>
      </c>
      <c r="F203" s="186" t="s">
        <v>63</v>
      </c>
      <c r="G203" s="186">
        <v>299</v>
      </c>
      <c r="H203" s="186" t="s">
        <v>613</v>
      </c>
      <c r="I203" s="242">
        <v>0</v>
      </c>
      <c r="J203" s="718">
        <f t="shared" si="188"/>
        <v>0</v>
      </c>
      <c r="K203" s="150">
        <f t="shared" si="49"/>
        <v>0</v>
      </c>
      <c r="L203" s="150">
        <f t="shared" si="189"/>
        <v>0</v>
      </c>
      <c r="M203" s="173"/>
      <c r="N203" s="150"/>
      <c r="O203" s="150"/>
      <c r="P203" s="150"/>
      <c r="Q203" s="150"/>
      <c r="R203" s="150"/>
      <c r="S203" s="150"/>
      <c r="T203" s="150"/>
      <c r="U203" s="150"/>
      <c r="V203" s="150"/>
      <c r="W203" s="150"/>
      <c r="X203" s="150"/>
      <c r="Y203" s="150"/>
      <c r="Z203" s="150"/>
      <c r="AA203" s="150"/>
      <c r="AB203" s="150"/>
      <c r="AC203" s="150"/>
      <c r="AD203" s="150"/>
      <c r="AE203" s="150"/>
      <c r="AF203" s="150"/>
      <c r="AG203" s="150"/>
      <c r="AH203" s="150"/>
      <c r="AI203" s="150"/>
      <c r="AJ203" s="150"/>
      <c r="AK203" s="150"/>
      <c r="AL203" s="150"/>
      <c r="AM203" s="150"/>
      <c r="AN203" s="150"/>
      <c r="AO203" s="150"/>
      <c r="AP203" s="150"/>
      <c r="AQ203" s="150"/>
      <c r="AR203" s="150"/>
      <c r="AS203" s="150"/>
      <c r="AT203" s="150"/>
      <c r="AU203" s="150"/>
      <c r="AV203" s="150"/>
      <c r="AW203" s="150"/>
      <c r="AX203" s="150"/>
      <c r="AY203" s="150"/>
      <c r="AZ203" s="150"/>
      <c r="BA203" s="150"/>
      <c r="BB203" s="150"/>
      <c r="BC203" s="170"/>
      <c r="BD203" s="170"/>
      <c r="BE203" s="170"/>
      <c r="BF203" s="170"/>
      <c r="BG203" s="170"/>
      <c r="BH203" s="170"/>
      <c r="BI203" s="170"/>
      <c r="BJ203" s="170"/>
      <c r="BK203" s="167">
        <f t="shared" si="192"/>
        <v>0</v>
      </c>
      <c r="BL203" s="167">
        <f t="shared" si="193"/>
        <v>0</v>
      </c>
      <c r="BM203" s="167">
        <f t="shared" si="194"/>
        <v>0</v>
      </c>
      <c r="BN203" s="167">
        <f t="shared" si="195"/>
        <v>0</v>
      </c>
    </row>
    <row r="204" spans="1:66" s="171" customFormat="1" hidden="1" outlineLevel="1" x14ac:dyDescent="0.3">
      <c r="A204" s="186"/>
      <c r="B204" s="186"/>
      <c r="C204" s="186"/>
      <c r="D204" s="186"/>
      <c r="E204" s="186" t="s">
        <v>3277</v>
      </c>
      <c r="F204" s="186" t="s">
        <v>63</v>
      </c>
      <c r="G204" s="186">
        <v>299</v>
      </c>
      <c r="H204" s="186" t="s">
        <v>613</v>
      </c>
      <c r="I204" s="242">
        <v>0</v>
      </c>
      <c r="J204" s="718">
        <f t="shared" si="188"/>
        <v>0</v>
      </c>
      <c r="K204" s="150">
        <f t="shared" si="49"/>
        <v>0</v>
      </c>
      <c r="L204" s="150">
        <f t="shared" si="189"/>
        <v>0</v>
      </c>
      <c r="M204" s="173"/>
      <c r="N204" s="150"/>
      <c r="O204" s="150"/>
      <c r="P204" s="150"/>
      <c r="Q204" s="150"/>
      <c r="R204" s="150"/>
      <c r="S204" s="150"/>
      <c r="T204" s="150"/>
      <c r="U204" s="150"/>
      <c r="V204" s="150"/>
      <c r="W204" s="150"/>
      <c r="X204" s="150"/>
      <c r="Y204" s="150"/>
      <c r="Z204" s="150"/>
      <c r="AA204" s="150"/>
      <c r="AB204" s="150"/>
      <c r="AC204" s="150"/>
      <c r="AD204" s="150"/>
      <c r="AE204" s="150"/>
      <c r="AF204" s="150"/>
      <c r="AG204" s="150"/>
      <c r="AH204" s="150"/>
      <c r="AI204" s="150"/>
      <c r="AJ204" s="150"/>
      <c r="AK204" s="150"/>
      <c r="AL204" s="150"/>
      <c r="AM204" s="150"/>
      <c r="AN204" s="150"/>
      <c r="AO204" s="150"/>
      <c r="AP204" s="150"/>
      <c r="AQ204" s="150"/>
      <c r="AR204" s="150"/>
      <c r="AS204" s="150"/>
      <c r="AT204" s="150"/>
      <c r="AU204" s="150"/>
      <c r="AV204" s="150"/>
      <c r="AW204" s="150"/>
      <c r="AX204" s="150"/>
      <c r="AY204" s="150"/>
      <c r="AZ204" s="150"/>
      <c r="BA204" s="150"/>
      <c r="BB204" s="150"/>
      <c r="BC204" s="170"/>
      <c r="BD204" s="170"/>
      <c r="BE204" s="170"/>
      <c r="BF204" s="170"/>
      <c r="BG204" s="170"/>
      <c r="BH204" s="170"/>
      <c r="BI204" s="170"/>
      <c r="BJ204" s="170"/>
      <c r="BK204" s="167">
        <f t="shared" si="192"/>
        <v>0</v>
      </c>
      <c r="BL204" s="167">
        <f t="shared" si="193"/>
        <v>0</v>
      </c>
      <c r="BM204" s="167">
        <f t="shared" si="194"/>
        <v>0</v>
      </c>
      <c r="BN204" s="167">
        <f t="shared" si="195"/>
        <v>0</v>
      </c>
    </row>
    <row r="205" spans="1:66" s="171" customFormat="1" hidden="1" outlineLevel="1" x14ac:dyDescent="0.3">
      <c r="A205" s="186"/>
      <c r="B205" s="186"/>
      <c r="C205" s="186"/>
      <c r="D205" s="186"/>
      <c r="E205" s="183" t="s">
        <v>2664</v>
      </c>
      <c r="F205" s="186"/>
      <c r="G205" s="186"/>
      <c r="H205" s="183" t="s">
        <v>2617</v>
      </c>
      <c r="I205" s="718">
        <f>SUM(I206:I207)</f>
        <v>0</v>
      </c>
      <c r="J205" s="718">
        <f t="shared" si="188"/>
        <v>1.4901161193847656E-8</v>
      </c>
      <c r="K205" s="150">
        <f>+I205-J205</f>
        <v>-1.4901161193847656E-8</v>
      </c>
      <c r="L205" s="150">
        <f t="shared" si="189"/>
        <v>1.4901161193847656E-8</v>
      </c>
      <c r="M205" s="166"/>
      <c r="N205" s="150">
        <f>SUM(N206:N207)</f>
        <v>-18954140.433442079</v>
      </c>
      <c r="O205" s="150">
        <f>SUM(O206:O207)</f>
        <v>-2936263.679849436</v>
      </c>
      <c r="P205" s="150">
        <f t="shared" ref="P205:Z205" si="211">SUM(P206:P207)</f>
        <v>-628956.41863655369</v>
      </c>
      <c r="Q205" s="150">
        <f t="shared" si="211"/>
        <v>-3533301.3451275616</v>
      </c>
      <c r="R205" s="150">
        <f t="shared" si="211"/>
        <v>-1363872.633258051</v>
      </c>
      <c r="S205" s="150">
        <f t="shared" si="211"/>
        <v>-2663907.7597992471</v>
      </c>
      <c r="T205" s="150">
        <f t="shared" si="211"/>
        <v>-1829834.1064659138</v>
      </c>
      <c r="U205" s="150">
        <f t="shared" si="211"/>
        <v>-3264346.6037139278</v>
      </c>
      <c r="V205" s="150">
        <f t="shared" si="211"/>
        <v>-4882261.1182099534</v>
      </c>
      <c r="W205" s="150">
        <f t="shared" si="211"/>
        <v>-11788539.79578419</v>
      </c>
      <c r="X205" s="150">
        <f t="shared" si="211"/>
        <v>-9445895.5226265155</v>
      </c>
      <c r="Y205" s="150">
        <f t="shared" si="211"/>
        <v>-7252097.7405102458</v>
      </c>
      <c r="Z205" s="150">
        <f t="shared" si="211"/>
        <v>-1678350.842576328</v>
      </c>
      <c r="AA205" s="150">
        <f t="shared" ref="AA205:AO205" si="212">SUM(AA206:AA207)</f>
        <v>46916643</v>
      </c>
      <c r="AB205" s="150">
        <f t="shared" si="212"/>
        <v>0</v>
      </c>
      <c r="AC205" s="150">
        <f t="shared" si="212"/>
        <v>0</v>
      </c>
      <c r="AD205" s="150">
        <f t="shared" si="212"/>
        <v>0</v>
      </c>
      <c r="AE205" s="150">
        <f t="shared" si="212"/>
        <v>0</v>
      </c>
      <c r="AF205" s="150">
        <f t="shared" ref="AF205" si="213">SUM(AF206:AF207)</f>
        <v>0</v>
      </c>
      <c r="AG205" s="150">
        <f t="shared" ref="AG205" si="214">SUM(AG206:AG207)</f>
        <v>23305125</v>
      </c>
      <c r="AH205" s="150">
        <f t="shared" si="212"/>
        <v>0</v>
      </c>
      <c r="AI205" s="150">
        <f t="shared" si="212"/>
        <v>0</v>
      </c>
      <c r="AJ205" s="150">
        <f t="shared" si="212"/>
        <v>0</v>
      </c>
      <c r="AK205" s="150">
        <f t="shared" si="212"/>
        <v>0</v>
      </c>
      <c r="AL205" s="150">
        <f t="shared" si="212"/>
        <v>0</v>
      </c>
      <c r="AM205" s="150">
        <f t="shared" ref="AM205:AN205" si="215">SUM(AM206:AM207)</f>
        <v>0</v>
      </c>
      <c r="AN205" s="150">
        <f t="shared" si="215"/>
        <v>0</v>
      </c>
      <c r="AO205" s="150">
        <f t="shared" si="212"/>
        <v>0</v>
      </c>
      <c r="AP205" s="150"/>
      <c r="AQ205" s="150"/>
      <c r="AR205" s="150"/>
      <c r="AS205" s="150"/>
      <c r="AT205" s="150"/>
      <c r="AU205" s="150"/>
      <c r="AV205" s="150"/>
      <c r="AW205" s="150"/>
      <c r="AX205" s="150"/>
      <c r="AY205" s="150"/>
      <c r="AZ205" s="150"/>
      <c r="BA205" s="150"/>
      <c r="BB205" s="150"/>
      <c r="BC205" s="170"/>
      <c r="BD205" s="170"/>
      <c r="BE205" s="170"/>
      <c r="BF205" s="170"/>
      <c r="BG205" s="170"/>
      <c r="BH205" s="170"/>
      <c r="BI205" s="170"/>
      <c r="BJ205" s="170"/>
      <c r="BK205" s="167">
        <f t="shared" si="192"/>
        <v>-23305124.999999985</v>
      </c>
      <c r="BL205" s="167">
        <f t="shared" si="193"/>
        <v>0</v>
      </c>
      <c r="BM205" s="167">
        <f t="shared" si="194"/>
        <v>23305125</v>
      </c>
      <c r="BN205" s="167">
        <f t="shared" si="195"/>
        <v>0</v>
      </c>
    </row>
    <row r="206" spans="1:66" s="171" customFormat="1" hidden="1" outlineLevel="1" x14ac:dyDescent="0.3">
      <c r="A206" s="186"/>
      <c r="B206" s="186"/>
      <c r="C206" s="186"/>
      <c r="D206" s="186"/>
      <c r="E206" s="186" t="s">
        <v>3974</v>
      </c>
      <c r="F206" s="186" t="s">
        <v>63</v>
      </c>
      <c r="G206" s="186">
        <v>344</v>
      </c>
      <c r="H206" s="186" t="s">
        <v>698</v>
      </c>
      <c r="I206" s="242"/>
      <c r="J206" s="718">
        <f t="shared" si="188"/>
        <v>-7.4505805969238281E-9</v>
      </c>
      <c r="K206" s="150"/>
      <c r="L206" s="150">
        <f t="shared" si="189"/>
        <v>-7.4505805969238281E-9</v>
      </c>
      <c r="M206" s="173">
        <v>9</v>
      </c>
      <c r="N206" s="150">
        <f>-IFERROR(VLOOKUP($M206,'1 b felosztások'!$A:$AE,'1 b felosztások'!C$2,0)*$AA206,0)</f>
        <v>-12162876.433442077</v>
      </c>
      <c r="O206" s="150">
        <f>-IFERROR(VLOOKUP($M206,'1 b felosztások'!$A:$AE,'1 b felosztások'!D$2,0)*$AA206,0)</f>
        <v>-2936263.679849436</v>
      </c>
      <c r="P206" s="150">
        <f>-IFERROR(VLOOKUP($M206,'1 b felosztások'!$A:$AE,'1 b felosztások'!E$2,0)*$AA206,0)</f>
        <v>-628956.41863655369</v>
      </c>
      <c r="Q206" s="150">
        <f>-IFERROR(VLOOKUP($M206,'1 b felosztások'!$A:$AE,'1 b felosztások'!F$2,0)*$AA206,0)</f>
        <v>-3533301.3451275616</v>
      </c>
      <c r="R206" s="150">
        <f>-IFERROR(VLOOKUP($M206,'1 b felosztások'!$A:$AE,'1 b felosztások'!G$2,0)*$AA206,0)</f>
        <v>-1363872.633258051</v>
      </c>
      <c r="S206" s="150">
        <f>-IFERROR(VLOOKUP($M206,'1 b felosztások'!$A:$AE,'1 b felosztások'!H$2,0)*$AA206,0)</f>
        <v>-2663907.7597992471</v>
      </c>
      <c r="T206" s="150">
        <f>-IFERROR(VLOOKUP($M206,'1 b felosztások'!$A:$AE,'1 b felosztások'!I$2,0)*$AA206,0)</f>
        <v>-1829834.1064659138</v>
      </c>
      <c r="U206" s="150">
        <f>-IFERROR(VLOOKUP($M206,'1 b felosztások'!$A:$AE,'1 b felosztások'!J$2,0)*$AA206,0)</f>
        <v>-3264346.6037139278</v>
      </c>
      <c r="V206" s="150">
        <f>-IFERROR(VLOOKUP($M206,'1 b felosztások'!$A:$AE,'1 b felosztások'!K$2,0)*$AA206,0)</f>
        <v>-4882261.1182099534</v>
      </c>
      <c r="W206" s="150">
        <f>-IFERROR(VLOOKUP($M206,'1 b felosztások'!$A:$AE,'1 b felosztások'!L$2,0)*$AA206,0)</f>
        <v>-3395422.7957841912</v>
      </c>
      <c r="X206" s="150">
        <f>-IFERROR(VLOOKUP($M206,'1 b felosztások'!$A:$AE,'1 b felosztások'!M$2,0)*$AA206,0)</f>
        <v>-1325151.5226265159</v>
      </c>
      <c r="Y206" s="150">
        <f>-IFERROR(VLOOKUP($M206,'1 b felosztások'!$A:$AE,'1 b felosztások'!N$2,0)*$AA206,0)</f>
        <v>-7252097.7405102458</v>
      </c>
      <c r="Z206" s="150">
        <f>-IFERROR(VLOOKUP($M206,'1 b felosztások'!$A:$AE,'1 b felosztások'!O$2,0)*$AA206,0)</f>
        <v>-1678350.842576328</v>
      </c>
      <c r="AA206" s="150">
        <v>46916643</v>
      </c>
      <c r="AB206" s="150">
        <f>IFERROR(VLOOKUP($M206,'1 b felosztások'!$A:$AE,'1 b felosztások'!Q$2,0)*$I206,0)</f>
        <v>0</v>
      </c>
      <c r="AC206" s="150">
        <f>IFERROR(VLOOKUP($M206,'1 b felosztások'!$A:$AE,'1 b felosztások'!R$2,0)*$I206,0)</f>
        <v>0</v>
      </c>
      <c r="AD206" s="150">
        <f>IFERROR(VLOOKUP($M206,'1 b felosztások'!$A:$AE,'1 b felosztások'!S$2,0)*$I206,0)</f>
        <v>0</v>
      </c>
      <c r="AE206" s="150">
        <f>IFERROR(VLOOKUP($M206,'1 b felosztások'!$A:$AE,'1 b felosztások'!T$2,0)*$I206,0)</f>
        <v>0</v>
      </c>
      <c r="AF206" s="150"/>
      <c r="AG206" s="150"/>
      <c r="AH206" s="150"/>
      <c r="AI206" s="150"/>
      <c r="AJ206" s="150"/>
      <c r="AK206" s="150"/>
      <c r="AL206" s="150"/>
      <c r="AM206" s="150"/>
      <c r="AN206" s="150"/>
      <c r="AO206" s="150"/>
      <c r="AP206" s="150"/>
      <c r="AQ206" s="150"/>
      <c r="AR206" s="150"/>
      <c r="AS206" s="150"/>
      <c r="AT206" s="150"/>
      <c r="AU206" s="150"/>
      <c r="AV206" s="150"/>
      <c r="AW206" s="150"/>
      <c r="AX206" s="150"/>
      <c r="AY206" s="150"/>
      <c r="AZ206" s="150"/>
      <c r="BA206" s="150"/>
      <c r="BB206" s="150"/>
      <c r="BC206" s="170"/>
      <c r="BD206" s="170"/>
      <c r="BE206" s="170"/>
      <c r="BF206" s="170"/>
      <c r="BG206" s="170"/>
      <c r="BH206" s="170"/>
      <c r="BI206" s="170"/>
      <c r="BJ206" s="170"/>
      <c r="BK206" s="167">
        <f t="shared" si="192"/>
        <v>0</v>
      </c>
      <c r="BL206" s="167">
        <f t="shared" si="193"/>
        <v>0</v>
      </c>
      <c r="BM206" s="167">
        <f t="shared" si="194"/>
        <v>0</v>
      </c>
      <c r="BN206" s="167">
        <f t="shared" si="195"/>
        <v>0</v>
      </c>
    </row>
    <row r="207" spans="1:66" s="171" customFormat="1" hidden="1" outlineLevel="1" collapsed="1" x14ac:dyDescent="0.3">
      <c r="A207" s="186"/>
      <c r="B207" s="186"/>
      <c r="C207" s="186"/>
      <c r="D207" s="186"/>
      <c r="E207" s="186" t="s">
        <v>3975</v>
      </c>
      <c r="F207" s="186" t="s">
        <v>63</v>
      </c>
      <c r="G207" s="186">
        <v>344</v>
      </c>
      <c r="H207" s="186" t="s">
        <v>3978</v>
      </c>
      <c r="I207" s="242"/>
      <c r="J207" s="718">
        <f t="shared" si="188"/>
        <v>0</v>
      </c>
      <c r="K207" s="150"/>
      <c r="L207" s="150">
        <f t="shared" si="189"/>
        <v>0</v>
      </c>
      <c r="M207" s="166">
        <v>17</v>
      </c>
      <c r="N207" s="150">
        <f>-IFERROR(VLOOKUP($M207,'1 b felosztások'!$A:$AE,'1 b felosztások'!C$2,0)*$AG207,0)</f>
        <v>-6791264</v>
      </c>
      <c r="O207" s="150">
        <f>-IFERROR(VLOOKUP($M207,'1 b felosztások'!$A:$AE,'1 b felosztások'!D$2,0)*$AG207,0)</f>
        <v>0</v>
      </c>
      <c r="P207" s="150">
        <f>-IFERROR(VLOOKUP($M207,'1 b felosztások'!$A:$AE,'1 b felosztások'!E$2,0)*$AG207,0)</f>
        <v>0</v>
      </c>
      <c r="Q207" s="150">
        <f>-IFERROR(VLOOKUP($M207,'1 b felosztások'!$A:$AE,'1 b felosztások'!F$2,0)*$AG207,0)</f>
        <v>0</v>
      </c>
      <c r="R207" s="150">
        <f>-IFERROR(VLOOKUP($M207,'1 b felosztások'!$A:$AE,'1 b felosztások'!G$2,0)*$AG207,0)</f>
        <v>0</v>
      </c>
      <c r="S207" s="150">
        <f>-IFERROR(VLOOKUP($M207,'1 b felosztások'!$A:$AE,'1 b felosztások'!H$2,0)*$AG207,0)</f>
        <v>0</v>
      </c>
      <c r="T207" s="150">
        <f>-IFERROR(VLOOKUP($M207,'1 b felosztások'!$A:$AE,'1 b felosztások'!I$2,0)*$AG207,0)</f>
        <v>0</v>
      </c>
      <c r="U207" s="150">
        <f>-IFERROR(VLOOKUP($M207,'1 b felosztások'!$A:$AE,'1 b felosztások'!J$2,0)*$AG207,0)</f>
        <v>0</v>
      </c>
      <c r="V207" s="150">
        <f>-IFERROR(VLOOKUP($M207,'1 b felosztások'!$A:$AE,'1 b felosztások'!K$2,0)*$AG207,0)</f>
        <v>0</v>
      </c>
      <c r="W207" s="150">
        <f>-IFERROR(VLOOKUP($M207,'1 b felosztások'!$A:$AE,'1 b felosztások'!L$2,0)*$AG207,0)</f>
        <v>-8393117</v>
      </c>
      <c r="X207" s="150">
        <f>-IFERROR(VLOOKUP($M207,'1 b felosztások'!$A:$AE,'1 b felosztások'!M$2,0)*$AG207,0)</f>
        <v>-8120743.9999999991</v>
      </c>
      <c r="Y207" s="150">
        <f>-IFERROR(VLOOKUP($M207,'1 b felosztások'!$A:$AE,'1 b felosztások'!N$2,0)*$AG207,0)</f>
        <v>0</v>
      </c>
      <c r="Z207" s="150">
        <f>-IFERROR(VLOOKUP($M207,'1 b felosztások'!$A:$AE,'1 b felosztások'!O$2,0)*$AG207,0)</f>
        <v>0</v>
      </c>
      <c r="AA207" s="150">
        <f>-IFERROR(VLOOKUP($M207,'1 b felosztások'!$A:$AE,'1 b felosztások'!P$2,0)*$AG207,0)</f>
        <v>0</v>
      </c>
      <c r="AB207" s="150">
        <f>-IFERROR(VLOOKUP($M207,'1 b felosztások'!$A:$AE,'1 b felosztások'!Q$2,0)*$AG207,0)</f>
        <v>0</v>
      </c>
      <c r="AC207" s="150">
        <f>-IFERROR(VLOOKUP($M207,'1 b felosztások'!$A:$AE,'1 b felosztások'!R$2,0)*$AG207,0)</f>
        <v>0</v>
      </c>
      <c r="AD207" s="150">
        <f>IFERROR(VLOOKUP($M207,'1 b felosztások'!$A:$AE,'1 b felosztások'!S$2,0)*$I207,0)</f>
        <v>0</v>
      </c>
      <c r="AE207" s="150">
        <f>IFERROR(VLOOKUP($M207,'1 b felosztások'!$A:$AE,'1 b felosztások'!T$2,0)*$I207,0)</f>
        <v>0</v>
      </c>
      <c r="AF207" s="150"/>
      <c r="AG207" s="150">
        <v>23305125</v>
      </c>
      <c r="AH207" s="150"/>
      <c r="AI207" s="150"/>
      <c r="AJ207" s="150"/>
      <c r="AK207" s="150"/>
      <c r="AL207" s="150"/>
      <c r="AM207" s="150"/>
      <c r="AN207" s="150"/>
      <c r="AO207" s="150"/>
      <c r="AP207" s="150"/>
      <c r="AQ207" s="150"/>
      <c r="AR207" s="150"/>
      <c r="AS207" s="150"/>
      <c r="AT207" s="150"/>
      <c r="AU207" s="150"/>
      <c r="AV207" s="150"/>
      <c r="AW207" s="150"/>
      <c r="AX207" s="150"/>
      <c r="AY207" s="150"/>
      <c r="AZ207" s="150"/>
      <c r="BA207" s="150"/>
      <c r="BB207" s="150"/>
      <c r="BC207" s="170"/>
      <c r="BD207" s="170"/>
      <c r="BE207" s="170"/>
      <c r="BF207" s="170"/>
      <c r="BG207" s="170"/>
      <c r="BH207" s="170"/>
      <c r="BI207" s="170"/>
      <c r="BJ207" s="170"/>
      <c r="BK207" s="167">
        <f t="shared" si="192"/>
        <v>-23305125</v>
      </c>
      <c r="BL207" s="167">
        <f t="shared" si="193"/>
        <v>0</v>
      </c>
      <c r="BM207" s="167">
        <f t="shared" si="194"/>
        <v>23305125</v>
      </c>
      <c r="BN207" s="167">
        <f t="shared" si="195"/>
        <v>0</v>
      </c>
    </row>
    <row r="208" spans="1:66" s="168" customFormat="1" hidden="1" outlineLevel="2" collapsed="1" x14ac:dyDescent="0.3">
      <c r="A208" s="183" t="s">
        <v>3792</v>
      </c>
      <c r="B208" s="183" t="s">
        <v>2735</v>
      </c>
      <c r="C208" s="183" t="s">
        <v>64</v>
      </c>
      <c r="D208" s="183" t="s">
        <v>2838</v>
      </c>
      <c r="E208" s="183" t="str">
        <f>VLOOKUP(A208,'Kiadások 2a SZH 2023'!A:B,2,0)</f>
        <v>Személyi kiadások (üzemeltetetés és informatika nélkül)</v>
      </c>
      <c r="F208" s="183" t="s">
        <v>2695</v>
      </c>
      <c r="G208" s="186"/>
      <c r="H208" s="183" t="s">
        <v>2617</v>
      </c>
      <c r="I208" s="718">
        <f>IFERROR(VLOOKUP($A208,'Kiadások 2a SZH 2023'!$A:$M,MATCH($I$1,'Kiadások 2a SZH 2023'!$A$1:$M$1,0),0), )</f>
        <v>644907708.20547938</v>
      </c>
      <c r="J208" s="718">
        <f>SUM(N208:AH208)</f>
        <v>644907708.6400001</v>
      </c>
      <c r="K208" s="150">
        <f t="shared" ref="K208:K236" si="216">+I208-J208</f>
        <v>-0.43452072143554688</v>
      </c>
      <c r="L208" s="150">
        <f>SUM(N208:AH208)</f>
        <v>644907708.6400001</v>
      </c>
      <c r="M208" s="166"/>
      <c r="N208" s="165">
        <f>SUM(N209:N264)-2</f>
        <v>88510909.040000007</v>
      </c>
      <c r="O208" s="165">
        <f>SUM(O209:O264)</f>
        <v>73220896.88000001</v>
      </c>
      <c r="P208" s="165">
        <f>SUM(P209:P264)</f>
        <v>12399060.720000001</v>
      </c>
      <c r="Q208" s="165">
        <f>SUM(Q209:Q264)</f>
        <v>65674586.600000001</v>
      </c>
      <c r="R208" s="165">
        <f>SUM(R209:R264)</f>
        <v>24902765.439999998</v>
      </c>
      <c r="S208" s="165">
        <f t="shared" ref="S208:AC208" si="217">SUM(S209:S264)</f>
        <v>46058302.159999996</v>
      </c>
      <c r="T208" s="165">
        <f t="shared" si="217"/>
        <v>18973373.550000001</v>
      </c>
      <c r="U208" s="165">
        <f t="shared" si="217"/>
        <v>38674452.980000004</v>
      </c>
      <c r="V208" s="165">
        <f t="shared" si="217"/>
        <v>52907929.879999995</v>
      </c>
      <c r="W208" s="165">
        <f t="shared" si="217"/>
        <v>32586302.440000001</v>
      </c>
      <c r="X208" s="165">
        <f t="shared" si="217"/>
        <v>14389348.720000001</v>
      </c>
      <c r="Y208" s="165">
        <f t="shared" si="217"/>
        <v>51080656.520000003</v>
      </c>
      <c r="Z208" s="165">
        <f t="shared" si="217"/>
        <v>33567359.799999997</v>
      </c>
      <c r="AA208" s="165">
        <f t="shared" si="217"/>
        <v>57846678.470000006</v>
      </c>
      <c r="AB208" s="165">
        <f t="shared" si="217"/>
        <v>0</v>
      </c>
      <c r="AC208" s="165">
        <f t="shared" si="217"/>
        <v>10809960</v>
      </c>
      <c r="AD208" s="165">
        <f t="shared" ref="AD208:AG208" si="218">SUM(AD209:AD264)-AD209</f>
        <v>0</v>
      </c>
      <c r="AE208" s="165">
        <f t="shared" si="218"/>
        <v>0</v>
      </c>
      <c r="AF208" s="165">
        <f t="shared" si="218"/>
        <v>0</v>
      </c>
      <c r="AG208" s="165">
        <f t="shared" si="218"/>
        <v>23305125.440000001</v>
      </c>
      <c r="AH208" s="165">
        <f t="shared" ref="AH208:AK208" si="219">SUM(AH209:AH264)</f>
        <v>0</v>
      </c>
      <c r="AI208" s="165">
        <f t="shared" si="219"/>
        <v>0</v>
      </c>
      <c r="AJ208" s="165">
        <f t="shared" si="219"/>
        <v>0</v>
      </c>
      <c r="AK208" s="165">
        <f t="shared" si="219"/>
        <v>0</v>
      </c>
      <c r="AL208" s="165">
        <f>SUM(AL209:AL264)</f>
        <v>0</v>
      </c>
      <c r="AM208" s="165">
        <f t="shared" ref="AM208:AO208" si="220">SUM(AM209:AM264)</f>
        <v>0</v>
      </c>
      <c r="AN208" s="165">
        <f t="shared" si="220"/>
        <v>0</v>
      </c>
      <c r="AO208" s="165">
        <f t="shared" si="220"/>
        <v>0</v>
      </c>
      <c r="AP208" s="165"/>
      <c r="AQ208" s="165"/>
      <c r="AR208" s="165"/>
      <c r="AS208" s="165"/>
      <c r="AT208" s="165"/>
      <c r="AU208" s="165"/>
      <c r="AV208" s="165"/>
      <c r="AW208" s="165"/>
      <c r="AX208" s="165"/>
      <c r="AY208" s="165"/>
      <c r="AZ208" s="165"/>
      <c r="BA208" s="165"/>
      <c r="BB208" s="165"/>
      <c r="BC208" s="167"/>
      <c r="BD208" s="167"/>
      <c r="BE208" s="167"/>
      <c r="BF208" s="167"/>
      <c r="BG208" s="167"/>
      <c r="BH208" s="167"/>
      <c r="BI208" s="167"/>
      <c r="BJ208" s="167"/>
      <c r="BK208" s="167">
        <f t="shared" si="192"/>
        <v>610792623.20000005</v>
      </c>
      <c r="BL208" s="167">
        <f t="shared" si="193"/>
        <v>0</v>
      </c>
      <c r="BM208" s="167">
        <f t="shared" si="194"/>
        <v>34115085.439999998</v>
      </c>
      <c r="BN208" s="167">
        <f t="shared" si="195"/>
        <v>0</v>
      </c>
    </row>
    <row r="209" spans="1:66" s="168" customFormat="1" ht="15.75" hidden="1" customHeight="1" outlineLevel="3" x14ac:dyDescent="0.3">
      <c r="A209" s="183"/>
      <c r="B209" s="183"/>
      <c r="C209" s="183"/>
      <c r="D209" s="183"/>
      <c r="E209" s="183" t="s">
        <v>3983</v>
      </c>
      <c r="F209" s="183" t="s">
        <v>66</v>
      </c>
      <c r="G209" s="186"/>
      <c r="H209" s="183" t="s">
        <v>2590</v>
      </c>
      <c r="I209" s="718">
        <v>28293906</v>
      </c>
      <c r="J209" s="718">
        <f t="shared" si="188"/>
        <v>28293906</v>
      </c>
      <c r="K209" s="150">
        <f t="shared" si="216"/>
        <v>0</v>
      </c>
      <c r="L209" s="150">
        <f t="shared" si="189"/>
        <v>28293906</v>
      </c>
      <c r="M209" s="166"/>
      <c r="N209" s="165"/>
      <c r="O209" s="165">
        <v>933451</v>
      </c>
      <c r="P209" s="165">
        <v>225694</v>
      </c>
      <c r="Q209" s="165">
        <v>1727721</v>
      </c>
      <c r="R209" s="165">
        <v>39525</v>
      </c>
      <c r="S209" s="165">
        <v>635616</v>
      </c>
      <c r="T209" s="165">
        <v>1357300</v>
      </c>
      <c r="U209" s="165"/>
      <c r="V209" s="165">
        <v>871541</v>
      </c>
      <c r="W209" s="165"/>
      <c r="X209" s="165"/>
      <c r="Y209" s="165"/>
      <c r="Z209" s="165">
        <v>3944190</v>
      </c>
      <c r="AA209" s="165">
        <v>7748908</v>
      </c>
      <c r="AB209" s="165"/>
      <c r="AC209" s="165">
        <v>10809960</v>
      </c>
      <c r="AD209" s="165"/>
      <c r="AE209" s="165"/>
      <c r="AF209" s="165"/>
      <c r="AG209" s="165"/>
      <c r="AH209" s="165"/>
      <c r="AI209" s="165"/>
      <c r="AJ209" s="165"/>
      <c r="AK209" s="165"/>
      <c r="AL209" s="165"/>
      <c r="AM209" s="165"/>
      <c r="AN209" s="165"/>
      <c r="AO209" s="165"/>
      <c r="AP209" s="165"/>
      <c r="AQ209" s="165"/>
      <c r="AR209" s="165"/>
      <c r="AS209" s="165"/>
      <c r="AT209" s="165"/>
      <c r="AU209" s="165"/>
      <c r="AV209" s="165"/>
      <c r="AW209" s="165"/>
      <c r="AX209" s="165"/>
      <c r="AY209" s="165"/>
      <c r="AZ209" s="165"/>
      <c r="BA209" s="165"/>
      <c r="BB209" s="165"/>
      <c r="BC209" s="167"/>
      <c r="BD209" s="167"/>
      <c r="BE209" s="167"/>
      <c r="BF209" s="167"/>
      <c r="BG209" s="167"/>
      <c r="BH209" s="167"/>
      <c r="BI209" s="167"/>
      <c r="BJ209" s="167"/>
      <c r="BK209" s="167">
        <f t="shared" si="192"/>
        <v>17483946</v>
      </c>
      <c r="BL209" s="167">
        <f t="shared" si="193"/>
        <v>0</v>
      </c>
      <c r="BM209" s="167">
        <f t="shared" si="194"/>
        <v>10809960</v>
      </c>
      <c r="BN209" s="167">
        <f t="shared" si="195"/>
        <v>0</v>
      </c>
    </row>
    <row r="210" spans="1:66" s="168" customFormat="1" ht="15.75" hidden="1" customHeight="1" outlineLevel="3" x14ac:dyDescent="0.3">
      <c r="A210" s="183"/>
      <c r="B210" s="183"/>
      <c r="C210" s="183"/>
      <c r="D210" s="183"/>
      <c r="E210" s="183" t="s">
        <v>3982</v>
      </c>
      <c r="F210" s="183" t="s">
        <v>66</v>
      </c>
      <c r="G210" s="186"/>
      <c r="H210" s="183" t="s">
        <v>2590</v>
      </c>
      <c r="I210" s="718"/>
      <c r="J210" s="718">
        <f t="shared" ref="J210" si="221">SUM(N210:AO210)</f>
        <v>0</v>
      </c>
      <c r="K210" s="150">
        <f t="shared" ref="K210" si="222">+I210-J210</f>
        <v>0</v>
      </c>
      <c r="L210" s="150">
        <f t="shared" ref="L210" si="223">SUM(N210:BJ210)</f>
        <v>0</v>
      </c>
      <c r="M210" s="166"/>
      <c r="N210" s="165"/>
      <c r="O210" s="165"/>
      <c r="P210" s="165"/>
      <c r="Q210" s="165"/>
      <c r="R210" s="165"/>
      <c r="S210" s="165"/>
      <c r="T210" s="165"/>
      <c r="U210" s="165"/>
      <c r="V210" s="165"/>
      <c r="W210" s="165"/>
      <c r="X210" s="165"/>
      <c r="Y210" s="165"/>
      <c r="Z210" s="165"/>
      <c r="AA210" s="165"/>
      <c r="AB210" s="165"/>
      <c r="AC210" s="165"/>
      <c r="AD210" s="165"/>
      <c r="AE210" s="165"/>
      <c r="AF210" s="165"/>
      <c r="AG210" s="165"/>
      <c r="AH210" s="165"/>
      <c r="AI210" s="165"/>
      <c r="AJ210" s="165"/>
      <c r="AK210" s="165"/>
      <c r="AL210" s="165"/>
      <c r="AM210" s="165"/>
      <c r="AN210" s="165"/>
      <c r="AO210" s="165"/>
      <c r="AP210" s="165"/>
      <c r="AQ210" s="165"/>
      <c r="AR210" s="165"/>
      <c r="AS210" s="165"/>
      <c r="AT210" s="165"/>
      <c r="AU210" s="165"/>
      <c r="AV210" s="165"/>
      <c r="AW210" s="165"/>
      <c r="AX210" s="165"/>
      <c r="AY210" s="165"/>
      <c r="AZ210" s="165"/>
      <c r="BA210" s="165"/>
      <c r="BB210" s="165"/>
      <c r="BC210" s="167"/>
      <c r="BD210" s="167"/>
      <c r="BE210" s="167"/>
      <c r="BF210" s="167"/>
      <c r="BG210" s="167"/>
      <c r="BH210" s="167"/>
      <c r="BI210" s="167"/>
      <c r="BJ210" s="167"/>
      <c r="BK210" s="167"/>
      <c r="BL210" s="167"/>
      <c r="BM210" s="167"/>
      <c r="BN210" s="167"/>
    </row>
    <row r="211" spans="1:66" s="168" customFormat="1" ht="15.75" hidden="1" customHeight="1" outlineLevel="3" x14ac:dyDescent="0.3">
      <c r="A211" s="183"/>
      <c r="B211" s="183"/>
      <c r="C211" s="183"/>
      <c r="D211" s="183"/>
      <c r="E211" s="183" t="s">
        <v>3984</v>
      </c>
      <c r="F211" s="183" t="s">
        <v>64</v>
      </c>
      <c r="G211" s="186"/>
      <c r="H211" s="183" t="s">
        <v>2620</v>
      </c>
      <c r="I211" s="718">
        <v>0</v>
      </c>
      <c r="J211" s="718">
        <f t="shared" si="188"/>
        <v>0</v>
      </c>
      <c r="K211" s="150">
        <f t="shared" si="216"/>
        <v>0</v>
      </c>
      <c r="L211" s="150">
        <f t="shared" si="189"/>
        <v>0</v>
      </c>
      <c r="M211" s="166"/>
      <c r="N211" s="165"/>
      <c r="O211" s="165"/>
      <c r="P211" s="165"/>
      <c r="Q211" s="165"/>
      <c r="R211" s="165"/>
      <c r="S211" s="165"/>
      <c r="T211" s="165"/>
      <c r="U211" s="165"/>
      <c r="V211" s="165"/>
      <c r="W211" s="165"/>
      <c r="X211" s="165"/>
      <c r="Y211" s="165"/>
      <c r="Z211" s="165"/>
      <c r="AA211" s="165"/>
      <c r="AB211" s="165"/>
      <c r="AC211" s="165"/>
      <c r="AD211" s="165"/>
      <c r="AE211" s="165"/>
      <c r="AF211" s="165"/>
      <c r="AG211" s="165"/>
      <c r="AH211" s="165"/>
      <c r="AI211" s="165"/>
      <c r="AJ211" s="165"/>
      <c r="AK211" s="165"/>
      <c r="AL211" s="165"/>
      <c r="AM211" s="165"/>
      <c r="AN211" s="165"/>
      <c r="AO211" s="165"/>
      <c r="AP211" s="165"/>
      <c r="AQ211" s="165"/>
      <c r="AR211" s="165"/>
      <c r="AS211" s="165"/>
      <c r="AT211" s="165"/>
      <c r="AU211" s="165"/>
      <c r="AV211" s="165"/>
      <c r="AW211" s="165"/>
      <c r="AX211" s="165"/>
      <c r="AY211" s="165"/>
      <c r="AZ211" s="165"/>
      <c r="BA211" s="165"/>
      <c r="BB211" s="165"/>
      <c r="BC211" s="167"/>
      <c r="BD211" s="167"/>
      <c r="BE211" s="167"/>
      <c r="BF211" s="167"/>
      <c r="BG211" s="167"/>
      <c r="BH211" s="167"/>
      <c r="BI211" s="167"/>
      <c r="BJ211" s="167"/>
      <c r="BK211" s="167">
        <f t="shared" si="192"/>
        <v>0</v>
      </c>
      <c r="BL211" s="167">
        <f t="shared" si="193"/>
        <v>0</v>
      </c>
      <c r="BM211" s="167">
        <f t="shared" si="194"/>
        <v>0</v>
      </c>
      <c r="BN211" s="167">
        <f t="shared" si="195"/>
        <v>0</v>
      </c>
    </row>
    <row r="212" spans="1:66" s="171" customFormat="1" ht="15.75" hidden="1" customHeight="1" outlineLevel="3" x14ac:dyDescent="0.3">
      <c r="A212" s="186"/>
      <c r="B212" s="186"/>
      <c r="C212" s="186"/>
      <c r="D212" s="186"/>
      <c r="E212" s="186" t="s">
        <v>2591</v>
      </c>
      <c r="F212" s="186" t="s">
        <v>64</v>
      </c>
      <c r="G212" s="186">
        <v>14</v>
      </c>
      <c r="H212" s="186" t="s">
        <v>151</v>
      </c>
      <c r="I212" s="718">
        <f>+J212</f>
        <v>445838655.1238938</v>
      </c>
      <c r="J212" s="718">
        <f>SUM(N212:AH212)</f>
        <v>445838655.1238938</v>
      </c>
      <c r="K212" s="150">
        <f t="shared" si="216"/>
        <v>0</v>
      </c>
      <c r="L212" s="150">
        <f t="shared" si="189"/>
        <v>445838655.1238938</v>
      </c>
      <c r="M212" s="166"/>
      <c r="N212" s="150">
        <v>72393500</v>
      </c>
      <c r="O212" s="150">
        <f>56373400-(O209/1.13)</f>
        <v>55547337.168141596</v>
      </c>
      <c r="P212" s="150">
        <f>10426400-225694/1.13</f>
        <v>10226670.796460178</v>
      </c>
      <c r="Q212" s="150">
        <f>54881100-1727721/1.13</f>
        <v>53352143.362831861</v>
      </c>
      <c r="R212" s="150">
        <f>21051600-39525/1.13</f>
        <v>21016622.123893805</v>
      </c>
      <c r="S212" s="150">
        <f>35231200-635616/1.13</f>
        <v>34668707.96460177</v>
      </c>
      <c r="T212" s="150">
        <f>15409319-1357300/1.13</f>
        <v>14208168.557522124</v>
      </c>
      <c r="U212" s="150">
        <v>30685914</v>
      </c>
      <c r="V212" s="150">
        <f>39356800-871541/1.13</f>
        <v>38585524.778761059</v>
      </c>
      <c r="W212" s="150">
        <v>27136500</v>
      </c>
      <c r="X212" s="150">
        <v>10904000</v>
      </c>
      <c r="Y212" s="150">
        <v>39448800</v>
      </c>
      <c r="Z212" s="150">
        <f>26327600-3944190/1.13</f>
        <v>22837166.371681415</v>
      </c>
      <c r="AA212" s="150"/>
      <c r="AB212" s="150"/>
      <c r="AC212" s="150"/>
      <c r="AD212" s="150"/>
      <c r="AE212" s="150"/>
      <c r="AF212" s="150"/>
      <c r="AG212" s="150">
        <v>14827600</v>
      </c>
      <c r="AH212" s="150"/>
      <c r="AI212" s="150"/>
      <c r="AJ212" s="150"/>
      <c r="AK212" s="150"/>
      <c r="AL212" s="150"/>
      <c r="AM212" s="150"/>
      <c r="AN212" s="150"/>
      <c r="AO212" s="150"/>
      <c r="AP212" s="150"/>
      <c r="AQ212" s="150"/>
      <c r="AR212" s="150"/>
      <c r="AS212" s="150"/>
      <c r="AT212" s="150"/>
      <c r="AU212" s="150"/>
      <c r="AV212" s="150"/>
      <c r="AW212" s="150"/>
      <c r="AX212" s="150"/>
      <c r="AY212" s="150"/>
      <c r="AZ212" s="150"/>
      <c r="BA212" s="150"/>
      <c r="BB212" s="150"/>
      <c r="BC212" s="170"/>
      <c r="BD212" s="170"/>
      <c r="BE212" s="170"/>
      <c r="BF212" s="170"/>
      <c r="BG212" s="170"/>
      <c r="BH212" s="170"/>
      <c r="BI212" s="170"/>
      <c r="BJ212" s="170"/>
      <c r="BK212" s="167">
        <f t="shared" si="192"/>
        <v>431011055.1238938</v>
      </c>
      <c r="BL212" s="167">
        <f t="shared" si="193"/>
        <v>0</v>
      </c>
      <c r="BM212" s="167">
        <f t="shared" si="194"/>
        <v>14827600</v>
      </c>
      <c r="BN212" s="167">
        <f t="shared" si="195"/>
        <v>0</v>
      </c>
    </row>
    <row r="213" spans="1:66" s="171" customFormat="1" ht="15.75" hidden="1" customHeight="1" outlineLevel="3" x14ac:dyDescent="0.3">
      <c r="A213" s="169"/>
      <c r="B213" s="169"/>
      <c r="C213" s="169"/>
      <c r="D213" s="169"/>
      <c r="E213" s="169" t="s">
        <v>2591</v>
      </c>
      <c r="F213" s="169" t="s">
        <v>64</v>
      </c>
      <c r="G213" s="169">
        <v>15</v>
      </c>
      <c r="H213" s="169" t="s">
        <v>153</v>
      </c>
      <c r="I213" s="165">
        <f t="shared" ref="I213:I264" si="224">+J213</f>
        <v>0</v>
      </c>
      <c r="J213" s="718">
        <f t="shared" ref="J213:J264" si="225">SUM(N213:AH213)</f>
        <v>0</v>
      </c>
      <c r="K213" s="150">
        <f t="shared" si="216"/>
        <v>0</v>
      </c>
      <c r="L213" s="150">
        <f t="shared" si="189"/>
        <v>0</v>
      </c>
      <c r="M213" s="166"/>
      <c r="N213" s="150"/>
      <c r="O213" s="150"/>
      <c r="P213" s="150"/>
      <c r="Q213" s="150"/>
      <c r="R213" s="150"/>
      <c r="S213" s="150"/>
      <c r="T213" s="150"/>
      <c r="U213" s="150"/>
      <c r="V213" s="150"/>
      <c r="W213" s="150"/>
      <c r="X213" s="150"/>
      <c r="Y213" s="150"/>
      <c r="Z213" s="150"/>
      <c r="AA213" s="150"/>
      <c r="AB213" s="150"/>
      <c r="AC213" s="150"/>
      <c r="AD213" s="150"/>
      <c r="AE213" s="150"/>
      <c r="AF213" s="150"/>
      <c r="AG213" s="150"/>
      <c r="AH213" s="150"/>
      <c r="AI213" s="150"/>
      <c r="AJ213" s="150"/>
      <c r="AK213" s="150"/>
      <c r="AL213" s="150"/>
      <c r="AM213" s="150"/>
      <c r="AN213" s="150"/>
      <c r="AO213" s="150"/>
      <c r="AP213" s="150"/>
      <c r="AQ213" s="150"/>
      <c r="AR213" s="150"/>
      <c r="AS213" s="150"/>
      <c r="AT213" s="150"/>
      <c r="AU213" s="150"/>
      <c r="AV213" s="150"/>
      <c r="AW213" s="150"/>
      <c r="AX213" s="150"/>
      <c r="AY213" s="150"/>
      <c r="AZ213" s="150"/>
      <c r="BA213" s="150"/>
      <c r="BB213" s="150"/>
      <c r="BC213" s="170"/>
      <c r="BD213" s="170"/>
      <c r="BE213" s="170"/>
      <c r="BF213" s="170"/>
      <c r="BG213" s="170"/>
      <c r="BH213" s="170"/>
      <c r="BI213" s="170"/>
      <c r="BJ213" s="170"/>
      <c r="BK213" s="167">
        <f t="shared" si="192"/>
        <v>0</v>
      </c>
      <c r="BL213" s="167">
        <f t="shared" si="193"/>
        <v>0</v>
      </c>
      <c r="BM213" s="167">
        <f t="shared" si="194"/>
        <v>0</v>
      </c>
      <c r="BN213" s="167">
        <f t="shared" si="195"/>
        <v>0</v>
      </c>
    </row>
    <row r="214" spans="1:66" s="171" customFormat="1" ht="15.75" hidden="1" customHeight="1" outlineLevel="3" x14ac:dyDescent="0.3">
      <c r="A214" s="169"/>
      <c r="B214" s="169"/>
      <c r="C214" s="169"/>
      <c r="D214" s="169"/>
      <c r="E214" s="169" t="s">
        <v>2591</v>
      </c>
      <c r="F214" s="169" t="s">
        <v>64</v>
      </c>
      <c r="G214" s="169">
        <v>16</v>
      </c>
      <c r="H214" s="169" t="s">
        <v>154</v>
      </c>
      <c r="I214" s="165">
        <f t="shared" si="224"/>
        <v>39463930.292035401</v>
      </c>
      <c r="J214" s="718">
        <f t="shared" si="225"/>
        <v>39463930.292035401</v>
      </c>
      <c r="K214" s="150">
        <f t="shared" si="216"/>
        <v>0</v>
      </c>
      <c r="L214" s="150">
        <f t="shared" si="189"/>
        <v>39463930.292035401</v>
      </c>
      <c r="M214" s="166"/>
      <c r="N214" s="150"/>
      <c r="O214" s="150"/>
      <c r="P214" s="150"/>
      <c r="Q214" s="150"/>
      <c r="R214" s="150"/>
      <c r="S214" s="150"/>
      <c r="T214" s="150"/>
      <c r="U214" s="150"/>
      <c r="V214" s="150"/>
      <c r="W214" s="150"/>
      <c r="X214" s="150"/>
      <c r="Y214" s="150"/>
      <c r="Z214" s="150"/>
      <c r="AA214" s="150">
        <f>46321371-7748908/1.13</f>
        <v>39463930.292035401</v>
      </c>
      <c r="AB214" s="150"/>
      <c r="AC214" s="150"/>
      <c r="AD214" s="150"/>
      <c r="AE214" s="150"/>
      <c r="AF214" s="150"/>
      <c r="AG214" s="150"/>
      <c r="AH214" s="150"/>
      <c r="AI214" s="150"/>
      <c r="AJ214" s="150"/>
      <c r="AK214" s="150"/>
      <c r="AL214" s="150"/>
      <c r="AM214" s="150"/>
      <c r="AN214" s="150"/>
      <c r="AO214" s="150"/>
      <c r="AP214" s="150"/>
      <c r="AQ214" s="150"/>
      <c r="AR214" s="150"/>
      <c r="AS214" s="150"/>
      <c r="AT214" s="150"/>
      <c r="AU214" s="150"/>
      <c r="AV214" s="150"/>
      <c r="AW214" s="150"/>
      <c r="AX214" s="150"/>
      <c r="AY214" s="150"/>
      <c r="AZ214" s="150"/>
      <c r="BA214" s="150"/>
      <c r="BB214" s="150"/>
      <c r="BC214" s="170"/>
      <c r="BD214" s="170"/>
      <c r="BE214" s="170"/>
      <c r="BF214" s="170"/>
      <c r="BG214" s="170"/>
      <c r="BH214" s="170"/>
      <c r="BI214" s="170"/>
      <c r="BJ214" s="170"/>
      <c r="BK214" s="167">
        <f t="shared" si="192"/>
        <v>39463930.292035401</v>
      </c>
      <c r="BL214" s="167">
        <f t="shared" si="193"/>
        <v>0</v>
      </c>
      <c r="BM214" s="167">
        <f t="shared" si="194"/>
        <v>0</v>
      </c>
      <c r="BN214" s="167">
        <f t="shared" si="195"/>
        <v>0</v>
      </c>
    </row>
    <row r="215" spans="1:66" s="171" customFormat="1" ht="15.75" hidden="1" customHeight="1" outlineLevel="3" x14ac:dyDescent="0.3">
      <c r="A215" s="169"/>
      <c r="B215" s="169"/>
      <c r="C215" s="169"/>
      <c r="D215" s="169"/>
      <c r="E215" s="169" t="s">
        <v>2591</v>
      </c>
      <c r="F215" s="169" t="s">
        <v>64</v>
      </c>
      <c r="G215" s="169">
        <v>17</v>
      </c>
      <c r="H215" s="169" t="s">
        <v>155</v>
      </c>
      <c r="I215" s="165">
        <f t="shared" si="224"/>
        <v>0</v>
      </c>
      <c r="J215" s="718">
        <f t="shared" si="225"/>
        <v>0</v>
      </c>
      <c r="K215" s="150">
        <f t="shared" si="216"/>
        <v>0</v>
      </c>
      <c r="L215" s="150">
        <f t="shared" si="189"/>
        <v>0</v>
      </c>
      <c r="M215" s="166"/>
      <c r="N215" s="150"/>
      <c r="O215" s="150"/>
      <c r="P215" s="150"/>
      <c r="Q215" s="150"/>
      <c r="R215" s="150"/>
      <c r="S215" s="150"/>
      <c r="T215" s="150"/>
      <c r="U215" s="150"/>
      <c r="V215" s="150"/>
      <c r="W215" s="150"/>
      <c r="X215" s="150"/>
      <c r="Y215" s="150"/>
      <c r="Z215" s="150"/>
      <c r="AA215" s="150"/>
      <c r="AB215" s="150"/>
      <c r="AC215" s="150"/>
      <c r="AD215" s="150"/>
      <c r="AE215" s="150"/>
      <c r="AF215" s="150"/>
      <c r="AG215" s="150"/>
      <c r="AH215" s="150"/>
      <c r="AI215" s="150"/>
      <c r="AJ215" s="150"/>
      <c r="AK215" s="150"/>
      <c r="AL215" s="150"/>
      <c r="AM215" s="150"/>
      <c r="AN215" s="150"/>
      <c r="AO215" s="150"/>
      <c r="AP215" s="150"/>
      <c r="AQ215" s="150"/>
      <c r="AR215" s="150"/>
      <c r="AS215" s="150"/>
      <c r="AT215" s="150"/>
      <c r="AU215" s="150"/>
      <c r="AV215" s="150"/>
      <c r="AW215" s="150"/>
      <c r="AX215" s="150"/>
      <c r="AY215" s="150"/>
      <c r="AZ215" s="150"/>
      <c r="BA215" s="150"/>
      <c r="BB215" s="150"/>
      <c r="BC215" s="170"/>
      <c r="BD215" s="170"/>
      <c r="BE215" s="170"/>
      <c r="BF215" s="170"/>
      <c r="BG215" s="170"/>
      <c r="BH215" s="170"/>
      <c r="BI215" s="170"/>
      <c r="BJ215" s="170"/>
      <c r="BK215" s="167">
        <f t="shared" si="192"/>
        <v>0</v>
      </c>
      <c r="BL215" s="167">
        <f t="shared" si="193"/>
        <v>0</v>
      </c>
      <c r="BM215" s="167">
        <f t="shared" si="194"/>
        <v>0</v>
      </c>
      <c r="BN215" s="167">
        <f t="shared" si="195"/>
        <v>0</v>
      </c>
    </row>
    <row r="216" spans="1:66" s="171" customFormat="1" ht="15.75" hidden="1" customHeight="1" outlineLevel="3" x14ac:dyDescent="0.3">
      <c r="A216" s="169"/>
      <c r="B216" s="169"/>
      <c r="C216" s="169"/>
      <c r="D216" s="169"/>
      <c r="E216" s="169" t="s">
        <v>2591</v>
      </c>
      <c r="F216" s="169" t="s">
        <v>64</v>
      </c>
      <c r="G216" s="169">
        <v>18</v>
      </c>
      <c r="H216" s="169" t="s">
        <v>157</v>
      </c>
      <c r="I216" s="165">
        <f t="shared" si="224"/>
        <v>0</v>
      </c>
      <c r="J216" s="718">
        <f t="shared" si="225"/>
        <v>0</v>
      </c>
      <c r="K216" s="150">
        <f t="shared" si="216"/>
        <v>0</v>
      </c>
      <c r="L216" s="150">
        <f t="shared" si="189"/>
        <v>0</v>
      </c>
      <c r="M216" s="166"/>
      <c r="N216" s="150"/>
      <c r="O216" s="150"/>
      <c r="P216" s="150"/>
      <c r="Q216" s="150"/>
      <c r="R216" s="150"/>
      <c r="S216" s="150"/>
      <c r="T216" s="150"/>
      <c r="U216" s="150"/>
      <c r="V216" s="150"/>
      <c r="W216" s="150"/>
      <c r="X216" s="150"/>
      <c r="Y216" s="150"/>
      <c r="Z216" s="150"/>
      <c r="AA216" s="150"/>
      <c r="AB216" s="150"/>
      <c r="AC216" s="150"/>
      <c r="AD216" s="150"/>
      <c r="AE216" s="150"/>
      <c r="AF216" s="150"/>
      <c r="AG216" s="150"/>
      <c r="AH216" s="150"/>
      <c r="AI216" s="150"/>
      <c r="AJ216" s="150"/>
      <c r="AK216" s="150"/>
      <c r="AL216" s="150"/>
      <c r="AM216" s="150"/>
      <c r="AN216" s="150"/>
      <c r="AO216" s="150"/>
      <c r="AP216" s="150"/>
      <c r="AQ216" s="150"/>
      <c r="AR216" s="150"/>
      <c r="AS216" s="150"/>
      <c r="AT216" s="150"/>
      <c r="AU216" s="150"/>
      <c r="AV216" s="150"/>
      <c r="AW216" s="150"/>
      <c r="AX216" s="150"/>
      <c r="AY216" s="150"/>
      <c r="AZ216" s="150"/>
      <c r="BA216" s="150"/>
      <c r="BB216" s="150"/>
      <c r="BC216" s="170"/>
      <c r="BD216" s="170"/>
      <c r="BE216" s="170"/>
      <c r="BF216" s="170"/>
      <c r="BG216" s="170"/>
      <c r="BH216" s="170"/>
      <c r="BI216" s="170"/>
      <c r="BJ216" s="170"/>
      <c r="BK216" s="167">
        <f t="shared" si="192"/>
        <v>0</v>
      </c>
      <c r="BL216" s="167">
        <f t="shared" si="193"/>
        <v>0</v>
      </c>
      <c r="BM216" s="167">
        <f t="shared" si="194"/>
        <v>0</v>
      </c>
      <c r="BN216" s="167">
        <f t="shared" si="195"/>
        <v>0</v>
      </c>
    </row>
    <row r="217" spans="1:66" s="171" customFormat="1" ht="15.75" hidden="1" customHeight="1" outlineLevel="3" x14ac:dyDescent="0.3">
      <c r="A217" s="169"/>
      <c r="B217" s="169"/>
      <c r="C217" s="169"/>
      <c r="D217" s="169"/>
      <c r="E217" s="169" t="s">
        <v>2591</v>
      </c>
      <c r="F217" s="169" t="s">
        <v>64</v>
      </c>
      <c r="G217" s="169">
        <v>19</v>
      </c>
      <c r="H217" s="169" t="s">
        <v>159</v>
      </c>
      <c r="I217" s="165">
        <f t="shared" si="224"/>
        <v>0</v>
      </c>
      <c r="J217" s="718">
        <f t="shared" si="225"/>
        <v>0</v>
      </c>
      <c r="K217" s="150">
        <f t="shared" si="216"/>
        <v>0</v>
      </c>
      <c r="L217" s="150">
        <f t="shared" si="189"/>
        <v>0</v>
      </c>
      <c r="M217" s="166"/>
      <c r="N217" s="150"/>
      <c r="O217" s="150"/>
      <c r="P217" s="150"/>
      <c r="Q217" s="150"/>
      <c r="R217" s="150"/>
      <c r="S217" s="150"/>
      <c r="T217" s="150"/>
      <c r="U217" s="150"/>
      <c r="V217" s="150"/>
      <c r="W217" s="150"/>
      <c r="X217" s="150"/>
      <c r="Y217" s="150"/>
      <c r="Z217" s="150"/>
      <c r="AA217" s="150"/>
      <c r="AB217" s="150"/>
      <c r="AC217" s="150"/>
      <c r="AD217" s="150"/>
      <c r="AE217" s="150"/>
      <c r="AF217" s="150"/>
      <c r="AG217" s="150"/>
      <c r="AH217" s="150"/>
      <c r="AI217" s="150"/>
      <c r="AJ217" s="150"/>
      <c r="AK217" s="150"/>
      <c r="AL217" s="150"/>
      <c r="AM217" s="150"/>
      <c r="AN217" s="150"/>
      <c r="AO217" s="150"/>
      <c r="AP217" s="150"/>
      <c r="AQ217" s="150"/>
      <c r="AR217" s="150"/>
      <c r="AS217" s="150"/>
      <c r="AT217" s="150"/>
      <c r="AU217" s="150"/>
      <c r="AV217" s="150"/>
      <c r="AW217" s="150"/>
      <c r="AX217" s="150"/>
      <c r="AY217" s="150"/>
      <c r="AZ217" s="150"/>
      <c r="BA217" s="150"/>
      <c r="BB217" s="150"/>
      <c r="BC217" s="170"/>
      <c r="BD217" s="170"/>
      <c r="BE217" s="170"/>
      <c r="BF217" s="170"/>
      <c r="BG217" s="170"/>
      <c r="BH217" s="170"/>
      <c r="BI217" s="170"/>
      <c r="BJ217" s="170"/>
      <c r="BK217" s="167">
        <f t="shared" si="192"/>
        <v>0</v>
      </c>
      <c r="BL217" s="167">
        <f t="shared" si="193"/>
        <v>0</v>
      </c>
      <c r="BM217" s="167">
        <f t="shared" si="194"/>
        <v>0</v>
      </c>
      <c r="BN217" s="167">
        <f t="shared" si="195"/>
        <v>0</v>
      </c>
    </row>
    <row r="218" spans="1:66" s="171" customFormat="1" ht="15.75" hidden="1" customHeight="1" outlineLevel="3" x14ac:dyDescent="0.3">
      <c r="A218" s="169"/>
      <c r="B218" s="169"/>
      <c r="C218" s="169"/>
      <c r="D218" s="169"/>
      <c r="E218" s="169" t="s">
        <v>2591</v>
      </c>
      <c r="F218" s="169" t="s">
        <v>64</v>
      </c>
      <c r="G218" s="169">
        <v>20</v>
      </c>
      <c r="H218" s="169" t="s">
        <v>161</v>
      </c>
      <c r="I218" s="165">
        <f t="shared" si="224"/>
        <v>6960000</v>
      </c>
      <c r="J218" s="718">
        <f t="shared" si="225"/>
        <v>6960000</v>
      </c>
      <c r="K218" s="150">
        <f t="shared" si="216"/>
        <v>0</v>
      </c>
      <c r="L218" s="150">
        <f t="shared" si="189"/>
        <v>6960000</v>
      </c>
      <c r="M218" s="166"/>
      <c r="N218" s="150">
        <v>480000</v>
      </c>
      <c r="O218" s="150">
        <v>480000</v>
      </c>
      <c r="P218" s="150"/>
      <c r="Q218" s="150">
        <v>480000</v>
      </c>
      <c r="R218" s="150"/>
      <c r="S218" s="150">
        <v>480000</v>
      </c>
      <c r="T218" s="150">
        <v>480000</v>
      </c>
      <c r="U218" s="150">
        <v>480000</v>
      </c>
      <c r="V218" s="150">
        <v>480000</v>
      </c>
      <c r="W218" s="150">
        <v>480000</v>
      </c>
      <c r="X218" s="150">
        <v>480000</v>
      </c>
      <c r="Y218" s="150">
        <v>480000</v>
      </c>
      <c r="Z218" s="150">
        <v>480000</v>
      </c>
      <c r="AA218" s="150">
        <v>1680000</v>
      </c>
      <c r="AB218" s="150"/>
      <c r="AC218" s="150"/>
      <c r="AD218" s="150"/>
      <c r="AE218" s="150"/>
      <c r="AF218" s="150"/>
      <c r="AG218" s="150"/>
      <c r="AH218" s="150"/>
      <c r="AI218" s="150"/>
      <c r="AJ218" s="150"/>
      <c r="AK218" s="150"/>
      <c r="AL218" s="150"/>
      <c r="AM218" s="150"/>
      <c r="AN218" s="150"/>
      <c r="AO218" s="150"/>
      <c r="AP218" s="150"/>
      <c r="AQ218" s="150"/>
      <c r="AR218" s="150"/>
      <c r="AS218" s="150"/>
      <c r="AT218" s="150"/>
      <c r="AU218" s="150"/>
      <c r="AV218" s="150"/>
      <c r="AW218" s="150"/>
      <c r="AX218" s="150"/>
      <c r="AY218" s="150"/>
      <c r="AZ218" s="150"/>
      <c r="BA218" s="150"/>
      <c r="BB218" s="150"/>
      <c r="BC218" s="170"/>
      <c r="BD218" s="170"/>
      <c r="BE218" s="170"/>
      <c r="BF218" s="170"/>
      <c r="BG218" s="170"/>
      <c r="BH218" s="170"/>
      <c r="BI218" s="170"/>
      <c r="BJ218" s="170"/>
      <c r="BK218" s="167">
        <f t="shared" si="192"/>
        <v>6960000</v>
      </c>
      <c r="BL218" s="167">
        <f t="shared" si="193"/>
        <v>0</v>
      </c>
      <c r="BM218" s="167">
        <f t="shared" si="194"/>
        <v>0</v>
      </c>
      <c r="BN218" s="167">
        <f t="shared" si="195"/>
        <v>0</v>
      </c>
    </row>
    <row r="219" spans="1:66" s="171" customFormat="1" ht="15.75" hidden="1" customHeight="1" outlineLevel="3" x14ac:dyDescent="0.3">
      <c r="A219" s="169"/>
      <c r="B219" s="169"/>
      <c r="C219" s="169"/>
      <c r="D219" s="169"/>
      <c r="E219" s="169" t="s">
        <v>2591</v>
      </c>
      <c r="F219" s="169" t="s">
        <v>64</v>
      </c>
      <c r="G219" s="169">
        <v>21</v>
      </c>
      <c r="H219" s="169" t="s">
        <v>163</v>
      </c>
      <c r="I219" s="165">
        <f t="shared" si="224"/>
        <v>0</v>
      </c>
      <c r="J219" s="718">
        <f t="shared" si="225"/>
        <v>0</v>
      </c>
      <c r="K219" s="150">
        <f t="shared" si="216"/>
        <v>0</v>
      </c>
      <c r="L219" s="150">
        <f t="shared" si="189"/>
        <v>0</v>
      </c>
      <c r="M219" s="166"/>
      <c r="N219" s="150"/>
      <c r="O219" s="150"/>
      <c r="P219" s="150"/>
      <c r="Q219" s="150"/>
      <c r="R219" s="150"/>
      <c r="S219" s="150"/>
      <c r="T219" s="150"/>
      <c r="U219" s="150"/>
      <c r="V219" s="150"/>
      <c r="W219" s="150"/>
      <c r="X219" s="150"/>
      <c r="Y219" s="150"/>
      <c r="Z219" s="150"/>
      <c r="AA219" s="150"/>
      <c r="AB219" s="150"/>
      <c r="AC219" s="150"/>
      <c r="AD219" s="150"/>
      <c r="AE219" s="150"/>
      <c r="AF219" s="150"/>
      <c r="AG219" s="150"/>
      <c r="AH219" s="150"/>
      <c r="AI219" s="150"/>
      <c r="AJ219" s="150"/>
      <c r="AK219" s="150"/>
      <c r="AL219" s="150"/>
      <c r="AM219" s="150"/>
      <c r="AN219" s="150"/>
      <c r="AO219" s="150"/>
      <c r="AP219" s="150"/>
      <c r="AQ219" s="150"/>
      <c r="AR219" s="150"/>
      <c r="AS219" s="150"/>
      <c r="AT219" s="150"/>
      <c r="AU219" s="150"/>
      <c r="AV219" s="150"/>
      <c r="AW219" s="150"/>
      <c r="AX219" s="150"/>
      <c r="AY219" s="150"/>
      <c r="AZ219" s="150"/>
      <c r="BA219" s="150"/>
      <c r="BB219" s="150"/>
      <c r="BC219" s="170"/>
      <c r="BD219" s="170"/>
      <c r="BE219" s="170"/>
      <c r="BF219" s="170"/>
      <c r="BG219" s="170"/>
      <c r="BH219" s="170"/>
      <c r="BI219" s="170"/>
      <c r="BJ219" s="170"/>
      <c r="BK219" s="167">
        <f t="shared" si="192"/>
        <v>0</v>
      </c>
      <c r="BL219" s="167">
        <f t="shared" si="193"/>
        <v>0</v>
      </c>
      <c r="BM219" s="167">
        <f t="shared" si="194"/>
        <v>0</v>
      </c>
      <c r="BN219" s="167">
        <f t="shared" si="195"/>
        <v>0</v>
      </c>
    </row>
    <row r="220" spans="1:66" s="171" customFormat="1" ht="15.75" hidden="1" customHeight="1" outlineLevel="3" x14ac:dyDescent="0.3">
      <c r="A220" s="169"/>
      <c r="B220" s="169"/>
      <c r="C220" s="169"/>
      <c r="D220" s="169"/>
      <c r="E220" s="169" t="s">
        <v>2591</v>
      </c>
      <c r="F220" s="169" t="s">
        <v>64</v>
      </c>
      <c r="G220" s="169">
        <v>22</v>
      </c>
      <c r="H220" s="169" t="s">
        <v>165</v>
      </c>
      <c r="I220" s="165">
        <f t="shared" si="224"/>
        <v>2720000</v>
      </c>
      <c r="J220" s="718">
        <f t="shared" si="225"/>
        <v>2720000</v>
      </c>
      <c r="K220" s="150">
        <f t="shared" si="216"/>
        <v>0</v>
      </c>
      <c r="L220" s="150">
        <f t="shared" si="189"/>
        <v>2720000</v>
      </c>
      <c r="M220" s="166"/>
      <c r="N220" s="150"/>
      <c r="O220" s="150"/>
      <c r="P220" s="150"/>
      <c r="Q220" s="150">
        <v>480000</v>
      </c>
      <c r="R220" s="150"/>
      <c r="S220" s="150">
        <v>440000</v>
      </c>
      <c r="T220" s="150"/>
      <c r="U220" s="150"/>
      <c r="V220" s="150"/>
      <c r="W220" s="150"/>
      <c r="X220" s="150"/>
      <c r="Y220" s="150"/>
      <c r="Z220" s="150"/>
      <c r="AA220" s="150">
        <v>1800000</v>
      </c>
      <c r="AB220" s="150"/>
      <c r="AC220" s="150"/>
      <c r="AD220" s="150"/>
      <c r="AE220" s="150"/>
      <c r="AF220" s="150"/>
      <c r="AG220" s="150"/>
      <c r="AH220" s="150"/>
      <c r="AI220" s="150"/>
      <c r="AJ220" s="150"/>
      <c r="AK220" s="150"/>
      <c r="AL220" s="150"/>
      <c r="AM220" s="150"/>
      <c r="AN220" s="150"/>
      <c r="AO220" s="150"/>
      <c r="AP220" s="150"/>
      <c r="AQ220" s="150"/>
      <c r="AR220" s="150"/>
      <c r="AS220" s="150"/>
      <c r="AT220" s="150"/>
      <c r="AU220" s="150"/>
      <c r="AV220" s="150"/>
      <c r="AW220" s="150"/>
      <c r="AX220" s="150"/>
      <c r="AY220" s="150"/>
      <c r="AZ220" s="150"/>
      <c r="BA220" s="150"/>
      <c r="BB220" s="150"/>
      <c r="BC220" s="170"/>
      <c r="BD220" s="170"/>
      <c r="BE220" s="170"/>
      <c r="BF220" s="170"/>
      <c r="BG220" s="170"/>
      <c r="BH220" s="170"/>
      <c r="BI220" s="170"/>
      <c r="BJ220" s="170"/>
      <c r="BK220" s="167">
        <f t="shared" si="192"/>
        <v>2720000</v>
      </c>
      <c r="BL220" s="167">
        <f t="shared" si="193"/>
        <v>0</v>
      </c>
      <c r="BM220" s="167">
        <f t="shared" si="194"/>
        <v>0</v>
      </c>
      <c r="BN220" s="167">
        <f t="shared" si="195"/>
        <v>0</v>
      </c>
    </row>
    <row r="221" spans="1:66" s="171" customFormat="1" ht="15.75" hidden="1" customHeight="1" outlineLevel="3" x14ac:dyDescent="0.3">
      <c r="A221" s="169"/>
      <c r="B221" s="169"/>
      <c r="C221" s="169"/>
      <c r="D221" s="169"/>
      <c r="E221" s="169" t="s">
        <v>2591</v>
      </c>
      <c r="F221" s="169" t="s">
        <v>64</v>
      </c>
      <c r="G221" s="169">
        <v>23</v>
      </c>
      <c r="H221" s="169" t="s">
        <v>167</v>
      </c>
      <c r="I221" s="165">
        <f t="shared" si="224"/>
        <v>0</v>
      </c>
      <c r="J221" s="718">
        <f t="shared" si="225"/>
        <v>0</v>
      </c>
      <c r="K221" s="150">
        <f t="shared" si="216"/>
        <v>0</v>
      </c>
      <c r="L221" s="150">
        <f t="shared" si="189"/>
        <v>0</v>
      </c>
      <c r="M221" s="166"/>
      <c r="N221" s="150"/>
      <c r="O221" s="150"/>
      <c r="P221" s="150"/>
      <c r="Q221" s="150"/>
      <c r="R221" s="150"/>
      <c r="S221" s="150"/>
      <c r="T221" s="150"/>
      <c r="U221" s="150"/>
      <c r="V221" s="150"/>
      <c r="W221" s="150"/>
      <c r="X221" s="150"/>
      <c r="Y221" s="150"/>
      <c r="Z221" s="150"/>
      <c r="AA221" s="150"/>
      <c r="AB221" s="150"/>
      <c r="AC221" s="150"/>
      <c r="AD221" s="150"/>
      <c r="AE221" s="150"/>
      <c r="AF221" s="150"/>
      <c r="AG221" s="150"/>
      <c r="AH221" s="150"/>
      <c r="AI221" s="150"/>
      <c r="AJ221" s="150"/>
      <c r="AK221" s="150"/>
      <c r="AL221" s="150"/>
      <c r="AM221" s="150"/>
      <c r="AN221" s="150"/>
      <c r="AO221" s="150"/>
      <c r="AP221" s="150"/>
      <c r="AQ221" s="150"/>
      <c r="AR221" s="150"/>
      <c r="AS221" s="150"/>
      <c r="AT221" s="150"/>
      <c r="AU221" s="150"/>
      <c r="AV221" s="150"/>
      <c r="AW221" s="150"/>
      <c r="AX221" s="150"/>
      <c r="AY221" s="150"/>
      <c r="AZ221" s="150"/>
      <c r="BA221" s="150"/>
      <c r="BB221" s="150"/>
      <c r="BC221" s="170"/>
      <c r="BD221" s="170"/>
      <c r="BE221" s="170"/>
      <c r="BF221" s="170"/>
      <c r="BG221" s="170"/>
      <c r="BH221" s="170"/>
      <c r="BI221" s="170"/>
      <c r="BJ221" s="170"/>
      <c r="BK221" s="167">
        <f t="shared" si="192"/>
        <v>0</v>
      </c>
      <c r="BL221" s="167">
        <f t="shared" si="193"/>
        <v>0</v>
      </c>
      <c r="BM221" s="167">
        <f t="shared" si="194"/>
        <v>0</v>
      </c>
      <c r="BN221" s="167">
        <f t="shared" si="195"/>
        <v>0</v>
      </c>
    </row>
    <row r="222" spans="1:66" s="171" customFormat="1" ht="15.75" hidden="1" customHeight="1" outlineLevel="3" x14ac:dyDescent="0.3">
      <c r="A222" s="169"/>
      <c r="B222" s="169"/>
      <c r="C222" s="169"/>
      <c r="D222" s="169"/>
      <c r="E222" s="169" t="s">
        <v>2591</v>
      </c>
      <c r="F222" s="169" t="s">
        <v>64</v>
      </c>
      <c r="G222" s="169">
        <v>24</v>
      </c>
      <c r="H222" s="169" t="s">
        <v>169</v>
      </c>
      <c r="I222" s="165">
        <f t="shared" si="224"/>
        <v>0</v>
      </c>
      <c r="J222" s="718">
        <f t="shared" si="225"/>
        <v>0</v>
      </c>
      <c r="K222" s="150">
        <f t="shared" si="216"/>
        <v>0</v>
      </c>
      <c r="L222" s="150">
        <f t="shared" si="189"/>
        <v>0</v>
      </c>
      <c r="M222" s="166"/>
      <c r="N222" s="150"/>
      <c r="O222" s="150"/>
      <c r="P222" s="150"/>
      <c r="Q222" s="150"/>
      <c r="R222" s="150"/>
      <c r="S222" s="150"/>
      <c r="T222" s="150"/>
      <c r="U222" s="150"/>
      <c r="V222" s="150"/>
      <c r="W222" s="150"/>
      <c r="X222" s="150"/>
      <c r="Y222" s="150"/>
      <c r="Z222" s="150"/>
      <c r="AA222" s="150"/>
      <c r="AB222" s="150"/>
      <c r="AC222" s="150"/>
      <c r="AD222" s="150"/>
      <c r="AE222" s="150"/>
      <c r="AF222" s="150"/>
      <c r="AG222" s="150"/>
      <c r="AH222" s="150"/>
      <c r="AI222" s="150"/>
      <c r="AJ222" s="150"/>
      <c r="AK222" s="150"/>
      <c r="AL222" s="150"/>
      <c r="AM222" s="150"/>
      <c r="AN222" s="150"/>
      <c r="AO222" s="150"/>
      <c r="AP222" s="150"/>
      <c r="AQ222" s="150"/>
      <c r="AR222" s="150"/>
      <c r="AS222" s="150"/>
      <c r="AT222" s="150"/>
      <c r="AU222" s="150"/>
      <c r="AV222" s="150"/>
      <c r="AW222" s="150"/>
      <c r="AX222" s="150"/>
      <c r="AY222" s="150"/>
      <c r="AZ222" s="150"/>
      <c r="BA222" s="150"/>
      <c r="BB222" s="150"/>
      <c r="BC222" s="170"/>
      <c r="BD222" s="170"/>
      <c r="BE222" s="170"/>
      <c r="BF222" s="170"/>
      <c r="BG222" s="170"/>
      <c r="BH222" s="170"/>
      <c r="BI222" s="170"/>
      <c r="BJ222" s="170"/>
      <c r="BK222" s="167">
        <f t="shared" si="192"/>
        <v>0</v>
      </c>
      <c r="BL222" s="167">
        <f t="shared" si="193"/>
        <v>0</v>
      </c>
      <c r="BM222" s="167">
        <f t="shared" si="194"/>
        <v>0</v>
      </c>
      <c r="BN222" s="167">
        <f t="shared" si="195"/>
        <v>0</v>
      </c>
    </row>
    <row r="223" spans="1:66" s="171" customFormat="1" ht="15.75" hidden="1" customHeight="1" outlineLevel="3" x14ac:dyDescent="0.3">
      <c r="A223" s="169"/>
      <c r="B223" s="169"/>
      <c r="C223" s="169"/>
      <c r="D223" s="169"/>
      <c r="E223" s="169" t="s">
        <v>2591</v>
      </c>
      <c r="F223" s="169" t="s">
        <v>64</v>
      </c>
      <c r="G223" s="169">
        <v>25</v>
      </c>
      <c r="H223" s="169" t="s">
        <v>171</v>
      </c>
      <c r="I223" s="165">
        <f t="shared" si="224"/>
        <v>0</v>
      </c>
      <c r="J223" s="718">
        <f t="shared" si="225"/>
        <v>0</v>
      </c>
      <c r="K223" s="150">
        <f t="shared" si="216"/>
        <v>0</v>
      </c>
      <c r="L223" s="150">
        <f t="shared" si="189"/>
        <v>0</v>
      </c>
      <c r="M223" s="166"/>
      <c r="N223" s="150"/>
      <c r="O223" s="150"/>
      <c r="P223" s="150"/>
      <c r="Q223" s="150"/>
      <c r="R223" s="150"/>
      <c r="S223" s="150"/>
      <c r="T223" s="150"/>
      <c r="U223" s="150"/>
      <c r="V223" s="150"/>
      <c r="W223" s="150"/>
      <c r="X223" s="150"/>
      <c r="Y223" s="150"/>
      <c r="Z223" s="150"/>
      <c r="AA223" s="150"/>
      <c r="AB223" s="150"/>
      <c r="AC223" s="150"/>
      <c r="AD223" s="150"/>
      <c r="AE223" s="150"/>
      <c r="AF223" s="150"/>
      <c r="AG223" s="150"/>
      <c r="AH223" s="150"/>
      <c r="AI223" s="150"/>
      <c r="AJ223" s="150"/>
      <c r="AK223" s="150"/>
      <c r="AL223" s="150"/>
      <c r="AM223" s="150"/>
      <c r="AN223" s="150"/>
      <c r="AO223" s="150"/>
      <c r="AP223" s="150"/>
      <c r="AQ223" s="150"/>
      <c r="AR223" s="150"/>
      <c r="AS223" s="150"/>
      <c r="AT223" s="150"/>
      <c r="AU223" s="150"/>
      <c r="AV223" s="150"/>
      <c r="AW223" s="150"/>
      <c r="AX223" s="150"/>
      <c r="AY223" s="150"/>
      <c r="AZ223" s="150"/>
      <c r="BA223" s="150"/>
      <c r="BB223" s="150"/>
      <c r="BC223" s="170"/>
      <c r="BD223" s="170"/>
      <c r="BE223" s="170"/>
      <c r="BF223" s="170"/>
      <c r="BG223" s="170"/>
      <c r="BH223" s="170"/>
      <c r="BI223" s="170"/>
      <c r="BJ223" s="170"/>
      <c r="BK223" s="167">
        <f t="shared" si="192"/>
        <v>0</v>
      </c>
      <c r="BL223" s="167">
        <f t="shared" si="193"/>
        <v>0</v>
      </c>
      <c r="BM223" s="167">
        <f t="shared" si="194"/>
        <v>0</v>
      </c>
      <c r="BN223" s="167">
        <f t="shared" si="195"/>
        <v>0</v>
      </c>
    </row>
    <row r="224" spans="1:66" s="171" customFormat="1" ht="15.75" hidden="1" customHeight="1" outlineLevel="3" x14ac:dyDescent="0.3">
      <c r="A224" s="169"/>
      <c r="B224" s="169"/>
      <c r="C224" s="169"/>
      <c r="D224" s="169"/>
      <c r="E224" s="169" t="s">
        <v>2591</v>
      </c>
      <c r="F224" s="169" t="s">
        <v>64</v>
      </c>
      <c r="G224" s="169">
        <v>26</v>
      </c>
      <c r="H224" s="169" t="s">
        <v>173</v>
      </c>
      <c r="I224" s="165">
        <f t="shared" si="224"/>
        <v>0</v>
      </c>
      <c r="J224" s="718">
        <f t="shared" si="225"/>
        <v>0</v>
      </c>
      <c r="K224" s="150">
        <f t="shared" si="216"/>
        <v>0</v>
      </c>
      <c r="L224" s="150">
        <f t="shared" si="189"/>
        <v>0</v>
      </c>
      <c r="M224" s="166"/>
      <c r="N224" s="150"/>
      <c r="O224" s="150"/>
      <c r="P224" s="150"/>
      <c r="Q224" s="150"/>
      <c r="R224" s="150"/>
      <c r="S224" s="150"/>
      <c r="T224" s="150"/>
      <c r="U224" s="150"/>
      <c r="V224" s="150"/>
      <c r="W224" s="150"/>
      <c r="X224" s="150"/>
      <c r="Y224" s="150"/>
      <c r="Z224" s="150"/>
      <c r="AA224" s="150"/>
      <c r="AB224" s="150"/>
      <c r="AC224" s="150"/>
      <c r="AD224" s="150"/>
      <c r="AE224" s="150"/>
      <c r="AF224" s="150"/>
      <c r="AG224" s="150"/>
      <c r="AH224" s="150"/>
      <c r="AI224" s="150"/>
      <c r="AJ224" s="150"/>
      <c r="AK224" s="150"/>
      <c r="AL224" s="150"/>
      <c r="AM224" s="150"/>
      <c r="AN224" s="150"/>
      <c r="AO224" s="150"/>
      <c r="AP224" s="150"/>
      <c r="AQ224" s="150"/>
      <c r="AR224" s="150"/>
      <c r="AS224" s="150"/>
      <c r="AT224" s="150"/>
      <c r="AU224" s="150"/>
      <c r="AV224" s="150"/>
      <c r="AW224" s="150"/>
      <c r="AX224" s="150"/>
      <c r="AY224" s="150"/>
      <c r="AZ224" s="150"/>
      <c r="BA224" s="150"/>
      <c r="BB224" s="150"/>
      <c r="BC224" s="170"/>
      <c r="BD224" s="170"/>
      <c r="BE224" s="170"/>
      <c r="BF224" s="170"/>
      <c r="BG224" s="170"/>
      <c r="BH224" s="170"/>
      <c r="BI224" s="170"/>
      <c r="BJ224" s="170"/>
      <c r="BK224" s="167">
        <f t="shared" si="192"/>
        <v>0</v>
      </c>
      <c r="BL224" s="167">
        <f t="shared" si="193"/>
        <v>0</v>
      </c>
      <c r="BM224" s="167">
        <f t="shared" si="194"/>
        <v>0</v>
      </c>
      <c r="BN224" s="167">
        <f t="shared" si="195"/>
        <v>0</v>
      </c>
    </row>
    <row r="225" spans="1:66" s="171" customFormat="1" ht="15.75" hidden="1" customHeight="1" outlineLevel="3" x14ac:dyDescent="0.3">
      <c r="A225" s="169"/>
      <c r="B225" s="169"/>
      <c r="C225" s="169"/>
      <c r="D225" s="169"/>
      <c r="E225" s="169" t="s">
        <v>2591</v>
      </c>
      <c r="F225" s="169" t="s">
        <v>64</v>
      </c>
      <c r="G225" s="169">
        <v>27</v>
      </c>
      <c r="H225" s="169" t="s">
        <v>174</v>
      </c>
      <c r="I225" s="165">
        <f t="shared" si="224"/>
        <v>0</v>
      </c>
      <c r="J225" s="718">
        <f t="shared" si="225"/>
        <v>0</v>
      </c>
      <c r="K225" s="150">
        <f t="shared" si="216"/>
        <v>0</v>
      </c>
      <c r="L225" s="150">
        <f t="shared" si="189"/>
        <v>0</v>
      </c>
      <c r="M225" s="166"/>
      <c r="N225" s="150"/>
      <c r="O225" s="150"/>
      <c r="P225" s="150"/>
      <c r="Q225" s="150"/>
      <c r="R225" s="150"/>
      <c r="S225" s="150"/>
      <c r="T225" s="150"/>
      <c r="U225" s="150"/>
      <c r="V225" s="150"/>
      <c r="W225" s="150"/>
      <c r="X225" s="150"/>
      <c r="Y225" s="150"/>
      <c r="Z225" s="150"/>
      <c r="AA225" s="150"/>
      <c r="AB225" s="150"/>
      <c r="AC225" s="150"/>
      <c r="AD225" s="150"/>
      <c r="AE225" s="150"/>
      <c r="AF225" s="150"/>
      <c r="AG225" s="150"/>
      <c r="AH225" s="150"/>
      <c r="AI225" s="150"/>
      <c r="AJ225" s="150"/>
      <c r="AK225" s="150"/>
      <c r="AL225" s="150"/>
      <c r="AM225" s="150"/>
      <c r="AN225" s="150"/>
      <c r="AO225" s="150"/>
      <c r="AP225" s="150"/>
      <c r="AQ225" s="150"/>
      <c r="AR225" s="150"/>
      <c r="AS225" s="150"/>
      <c r="AT225" s="150"/>
      <c r="AU225" s="150"/>
      <c r="AV225" s="150"/>
      <c r="AW225" s="150"/>
      <c r="AX225" s="150"/>
      <c r="AY225" s="150"/>
      <c r="AZ225" s="150"/>
      <c r="BA225" s="150"/>
      <c r="BB225" s="150"/>
      <c r="BC225" s="170"/>
      <c r="BD225" s="170"/>
      <c r="BE225" s="170"/>
      <c r="BF225" s="170"/>
      <c r="BG225" s="170"/>
      <c r="BH225" s="170"/>
      <c r="BI225" s="170"/>
      <c r="BJ225" s="170"/>
      <c r="BK225" s="167">
        <f t="shared" si="192"/>
        <v>0</v>
      </c>
      <c r="BL225" s="167">
        <f t="shared" si="193"/>
        <v>0</v>
      </c>
      <c r="BM225" s="167">
        <f t="shared" si="194"/>
        <v>0</v>
      </c>
      <c r="BN225" s="167">
        <f t="shared" si="195"/>
        <v>0</v>
      </c>
    </row>
    <row r="226" spans="1:66" s="171" customFormat="1" ht="15.75" hidden="1" customHeight="1" outlineLevel="3" x14ac:dyDescent="0.3">
      <c r="A226" s="169"/>
      <c r="B226" s="169"/>
      <c r="C226" s="169"/>
      <c r="D226" s="169"/>
      <c r="E226" s="169" t="s">
        <v>2591</v>
      </c>
      <c r="F226" s="169" t="s">
        <v>64</v>
      </c>
      <c r="G226" s="169">
        <v>28</v>
      </c>
      <c r="H226" s="169" t="s">
        <v>174</v>
      </c>
      <c r="I226" s="165">
        <f t="shared" si="224"/>
        <v>0</v>
      </c>
      <c r="J226" s="718">
        <f t="shared" si="225"/>
        <v>0</v>
      </c>
      <c r="K226" s="150">
        <f t="shared" si="216"/>
        <v>0</v>
      </c>
      <c r="L226" s="150">
        <f t="shared" si="189"/>
        <v>0</v>
      </c>
      <c r="M226" s="166"/>
      <c r="N226" s="150"/>
      <c r="O226" s="150"/>
      <c r="P226" s="150"/>
      <c r="Q226" s="150"/>
      <c r="R226" s="150"/>
      <c r="S226" s="150"/>
      <c r="T226" s="150"/>
      <c r="U226" s="150"/>
      <c r="V226" s="150"/>
      <c r="W226" s="150"/>
      <c r="X226" s="150"/>
      <c r="Y226" s="150"/>
      <c r="Z226" s="150"/>
      <c r="AA226" s="150"/>
      <c r="AB226" s="150"/>
      <c r="AC226" s="150"/>
      <c r="AD226" s="150"/>
      <c r="AE226" s="150"/>
      <c r="AF226" s="150"/>
      <c r="AG226" s="150"/>
      <c r="AH226" s="150"/>
      <c r="AI226" s="150"/>
      <c r="AJ226" s="150"/>
      <c r="AK226" s="150"/>
      <c r="AL226" s="150"/>
      <c r="AM226" s="150"/>
      <c r="AN226" s="150"/>
      <c r="AO226" s="150"/>
      <c r="AP226" s="150"/>
      <c r="AQ226" s="150"/>
      <c r="AR226" s="150"/>
      <c r="AS226" s="150"/>
      <c r="AT226" s="150"/>
      <c r="AU226" s="150"/>
      <c r="AV226" s="150"/>
      <c r="AW226" s="150"/>
      <c r="AX226" s="150"/>
      <c r="AY226" s="150"/>
      <c r="AZ226" s="150"/>
      <c r="BA226" s="150"/>
      <c r="BB226" s="150"/>
      <c r="BC226" s="170"/>
      <c r="BD226" s="170"/>
      <c r="BE226" s="170"/>
      <c r="BF226" s="170"/>
      <c r="BG226" s="170"/>
      <c r="BH226" s="170"/>
      <c r="BI226" s="170"/>
      <c r="BJ226" s="170"/>
      <c r="BK226" s="167">
        <f t="shared" si="192"/>
        <v>0</v>
      </c>
      <c r="BL226" s="167">
        <f t="shared" si="193"/>
        <v>0</v>
      </c>
      <c r="BM226" s="167">
        <f t="shared" si="194"/>
        <v>0</v>
      </c>
      <c r="BN226" s="167">
        <f t="shared" si="195"/>
        <v>0</v>
      </c>
    </row>
    <row r="227" spans="1:66" s="171" customFormat="1" ht="15.75" hidden="1" customHeight="1" outlineLevel="3" x14ac:dyDescent="0.3">
      <c r="A227" s="169"/>
      <c r="B227" s="169"/>
      <c r="C227" s="169"/>
      <c r="D227" s="169"/>
      <c r="E227" s="169" t="s">
        <v>2591</v>
      </c>
      <c r="F227" s="169" t="s">
        <v>64</v>
      </c>
      <c r="G227" s="169">
        <v>29</v>
      </c>
      <c r="H227" s="169" t="s">
        <v>175</v>
      </c>
      <c r="I227" s="165">
        <f t="shared" si="224"/>
        <v>0</v>
      </c>
      <c r="J227" s="718">
        <f t="shared" si="225"/>
        <v>0</v>
      </c>
      <c r="K227" s="150">
        <f t="shared" si="216"/>
        <v>0</v>
      </c>
      <c r="L227" s="150">
        <f t="shared" ref="L227:L258" si="226">SUM(N227:BJ227)</f>
        <v>0</v>
      </c>
      <c r="M227" s="166"/>
      <c r="N227" s="150"/>
      <c r="O227" s="150"/>
      <c r="P227" s="150"/>
      <c r="Q227" s="150"/>
      <c r="R227" s="150"/>
      <c r="S227" s="150"/>
      <c r="T227" s="150"/>
      <c r="U227" s="150"/>
      <c r="V227" s="150"/>
      <c r="W227" s="150"/>
      <c r="X227" s="150"/>
      <c r="Y227" s="150"/>
      <c r="Z227" s="150"/>
      <c r="AA227" s="150"/>
      <c r="AB227" s="150"/>
      <c r="AC227" s="150"/>
      <c r="AD227" s="150"/>
      <c r="AE227" s="150"/>
      <c r="AF227" s="150"/>
      <c r="AG227" s="150"/>
      <c r="AH227" s="150"/>
      <c r="AI227" s="150"/>
      <c r="AJ227" s="150"/>
      <c r="AK227" s="150"/>
      <c r="AL227" s="150"/>
      <c r="AM227" s="150"/>
      <c r="AN227" s="150"/>
      <c r="AO227" s="150"/>
      <c r="AP227" s="150"/>
      <c r="AQ227" s="150"/>
      <c r="AR227" s="150"/>
      <c r="AS227" s="150"/>
      <c r="AT227" s="150"/>
      <c r="AU227" s="150"/>
      <c r="AV227" s="150"/>
      <c r="AW227" s="150"/>
      <c r="AX227" s="150"/>
      <c r="AY227" s="150"/>
      <c r="AZ227" s="150"/>
      <c r="BA227" s="150"/>
      <c r="BB227" s="150"/>
      <c r="BC227" s="170"/>
      <c r="BD227" s="170"/>
      <c r="BE227" s="170"/>
      <c r="BF227" s="170"/>
      <c r="BG227" s="170"/>
      <c r="BH227" s="170"/>
      <c r="BI227" s="170"/>
      <c r="BJ227" s="170"/>
      <c r="BK227" s="167">
        <f t="shared" si="192"/>
        <v>0</v>
      </c>
      <c r="BL227" s="167">
        <f t="shared" si="193"/>
        <v>0</v>
      </c>
      <c r="BM227" s="167">
        <f t="shared" si="194"/>
        <v>0</v>
      </c>
      <c r="BN227" s="167">
        <f t="shared" si="195"/>
        <v>0</v>
      </c>
    </row>
    <row r="228" spans="1:66" s="171" customFormat="1" ht="15.75" hidden="1" customHeight="1" outlineLevel="3" x14ac:dyDescent="0.3">
      <c r="A228" s="169"/>
      <c r="B228" s="169"/>
      <c r="C228" s="169"/>
      <c r="D228" s="169"/>
      <c r="E228" s="169" t="s">
        <v>2591</v>
      </c>
      <c r="F228" s="169" t="s">
        <v>64</v>
      </c>
      <c r="G228" s="169">
        <v>30</v>
      </c>
      <c r="H228" s="169" t="s">
        <v>177</v>
      </c>
      <c r="I228" s="165">
        <f t="shared" si="224"/>
        <v>0</v>
      </c>
      <c r="J228" s="718">
        <f t="shared" si="225"/>
        <v>0</v>
      </c>
      <c r="K228" s="150">
        <f t="shared" si="216"/>
        <v>0</v>
      </c>
      <c r="L228" s="150">
        <f t="shared" si="226"/>
        <v>0</v>
      </c>
      <c r="M228" s="166"/>
      <c r="N228" s="150"/>
      <c r="O228" s="150"/>
      <c r="P228" s="150"/>
      <c r="Q228" s="150"/>
      <c r="R228" s="150"/>
      <c r="S228" s="150"/>
      <c r="T228" s="150"/>
      <c r="U228" s="150"/>
      <c r="V228" s="150"/>
      <c r="W228" s="150"/>
      <c r="X228" s="150"/>
      <c r="Y228" s="150"/>
      <c r="Z228" s="150"/>
      <c r="AA228" s="150"/>
      <c r="AB228" s="150"/>
      <c r="AC228" s="150"/>
      <c r="AD228" s="150"/>
      <c r="AE228" s="150"/>
      <c r="AF228" s="150"/>
      <c r="AG228" s="150"/>
      <c r="AH228" s="150"/>
      <c r="AI228" s="150"/>
      <c r="AJ228" s="150"/>
      <c r="AK228" s="150"/>
      <c r="AL228" s="150"/>
      <c r="AM228" s="150"/>
      <c r="AN228" s="150"/>
      <c r="AO228" s="150"/>
      <c r="AP228" s="150"/>
      <c r="AQ228" s="150"/>
      <c r="AR228" s="150"/>
      <c r="AS228" s="150"/>
      <c r="AT228" s="150"/>
      <c r="AU228" s="150"/>
      <c r="AV228" s="150"/>
      <c r="AW228" s="150"/>
      <c r="AX228" s="150"/>
      <c r="AY228" s="150"/>
      <c r="AZ228" s="150"/>
      <c r="BA228" s="150"/>
      <c r="BB228" s="150"/>
      <c r="BC228" s="170"/>
      <c r="BD228" s="170"/>
      <c r="BE228" s="170"/>
      <c r="BF228" s="170"/>
      <c r="BG228" s="170"/>
      <c r="BH228" s="170"/>
      <c r="BI228" s="170"/>
      <c r="BJ228" s="170"/>
      <c r="BK228" s="167">
        <f t="shared" si="192"/>
        <v>0</v>
      </c>
      <c r="BL228" s="167">
        <f t="shared" si="193"/>
        <v>0</v>
      </c>
      <c r="BM228" s="167">
        <f t="shared" si="194"/>
        <v>0</v>
      </c>
      <c r="BN228" s="167">
        <f t="shared" si="195"/>
        <v>0</v>
      </c>
    </row>
    <row r="229" spans="1:66" s="171" customFormat="1" ht="15.75" hidden="1" customHeight="1" outlineLevel="3" x14ac:dyDescent="0.3">
      <c r="A229" s="169"/>
      <c r="B229" s="169"/>
      <c r="C229" s="169"/>
      <c r="D229" s="169"/>
      <c r="E229" s="169" t="s">
        <v>2591</v>
      </c>
      <c r="F229" s="169" t="s">
        <v>64</v>
      </c>
      <c r="G229" s="169">
        <v>31</v>
      </c>
      <c r="H229" s="169" t="s">
        <v>179</v>
      </c>
      <c r="I229" s="165">
        <f t="shared" si="224"/>
        <v>0</v>
      </c>
      <c r="J229" s="718">
        <f t="shared" si="225"/>
        <v>0</v>
      </c>
      <c r="K229" s="150">
        <f t="shared" si="216"/>
        <v>0</v>
      </c>
      <c r="L229" s="150">
        <f t="shared" si="226"/>
        <v>0</v>
      </c>
      <c r="M229" s="166"/>
      <c r="N229" s="150"/>
      <c r="O229" s="150"/>
      <c r="P229" s="150"/>
      <c r="Q229" s="150"/>
      <c r="R229" s="150"/>
      <c r="S229" s="150"/>
      <c r="T229" s="150"/>
      <c r="U229" s="150"/>
      <c r="V229" s="150"/>
      <c r="W229" s="150"/>
      <c r="X229" s="150"/>
      <c r="Y229" s="150"/>
      <c r="Z229" s="150"/>
      <c r="AA229" s="150"/>
      <c r="AB229" s="150"/>
      <c r="AC229" s="150"/>
      <c r="AD229" s="150"/>
      <c r="AE229" s="150"/>
      <c r="AF229" s="150"/>
      <c r="AG229" s="150"/>
      <c r="AH229" s="150"/>
      <c r="AI229" s="150"/>
      <c r="AJ229" s="150"/>
      <c r="AK229" s="150"/>
      <c r="AL229" s="150"/>
      <c r="AM229" s="150"/>
      <c r="AN229" s="150"/>
      <c r="AO229" s="150"/>
      <c r="AP229" s="150"/>
      <c r="AQ229" s="150"/>
      <c r="AR229" s="150"/>
      <c r="AS229" s="150"/>
      <c r="AT229" s="150"/>
      <c r="AU229" s="150"/>
      <c r="AV229" s="150"/>
      <c r="AW229" s="150"/>
      <c r="AX229" s="150"/>
      <c r="AY229" s="150"/>
      <c r="AZ229" s="150"/>
      <c r="BA229" s="150"/>
      <c r="BB229" s="150"/>
      <c r="BC229" s="170"/>
      <c r="BD229" s="170"/>
      <c r="BE229" s="170"/>
      <c r="BF229" s="170"/>
      <c r="BG229" s="170"/>
      <c r="BH229" s="170"/>
      <c r="BI229" s="170"/>
      <c r="BJ229" s="170"/>
      <c r="BK229" s="167">
        <f t="shared" si="192"/>
        <v>0</v>
      </c>
      <c r="BL229" s="167">
        <f t="shared" si="193"/>
        <v>0</v>
      </c>
      <c r="BM229" s="167">
        <f t="shared" si="194"/>
        <v>0</v>
      </c>
      <c r="BN229" s="167">
        <f t="shared" si="195"/>
        <v>0</v>
      </c>
    </row>
    <row r="230" spans="1:66" s="171" customFormat="1" ht="15.75" hidden="1" customHeight="1" outlineLevel="3" x14ac:dyDescent="0.3">
      <c r="A230" s="169"/>
      <c r="B230" s="169"/>
      <c r="C230" s="169"/>
      <c r="D230" s="169"/>
      <c r="E230" s="169" t="s">
        <v>2591</v>
      </c>
      <c r="F230" s="169" t="s">
        <v>64</v>
      </c>
      <c r="G230" s="169">
        <v>32</v>
      </c>
      <c r="H230" s="169" t="s">
        <v>181</v>
      </c>
      <c r="I230" s="165">
        <f t="shared" si="224"/>
        <v>0</v>
      </c>
      <c r="J230" s="718">
        <f t="shared" si="225"/>
        <v>0</v>
      </c>
      <c r="K230" s="150">
        <f t="shared" si="216"/>
        <v>0</v>
      </c>
      <c r="L230" s="150">
        <f t="shared" si="226"/>
        <v>0</v>
      </c>
      <c r="M230" s="166"/>
      <c r="N230" s="150"/>
      <c r="O230" s="150"/>
      <c r="P230" s="150"/>
      <c r="Q230" s="150"/>
      <c r="R230" s="150"/>
      <c r="S230" s="150"/>
      <c r="T230" s="150"/>
      <c r="U230" s="150"/>
      <c r="V230" s="150"/>
      <c r="W230" s="150"/>
      <c r="X230" s="150"/>
      <c r="Y230" s="150"/>
      <c r="Z230" s="150"/>
      <c r="AA230" s="150"/>
      <c r="AB230" s="150"/>
      <c r="AC230" s="150"/>
      <c r="AD230" s="150"/>
      <c r="AE230" s="150"/>
      <c r="AF230" s="150"/>
      <c r="AG230" s="150"/>
      <c r="AH230" s="150"/>
      <c r="AI230" s="150"/>
      <c r="AJ230" s="150"/>
      <c r="AK230" s="150"/>
      <c r="AL230" s="150"/>
      <c r="AM230" s="150"/>
      <c r="AN230" s="150"/>
      <c r="AO230" s="150"/>
      <c r="AP230" s="150"/>
      <c r="AQ230" s="150"/>
      <c r="AR230" s="150"/>
      <c r="AS230" s="150"/>
      <c r="AT230" s="150"/>
      <c r="AU230" s="150"/>
      <c r="AV230" s="150"/>
      <c r="AW230" s="150"/>
      <c r="AX230" s="150"/>
      <c r="AY230" s="150"/>
      <c r="AZ230" s="150"/>
      <c r="BA230" s="150"/>
      <c r="BB230" s="150"/>
      <c r="BC230" s="170"/>
      <c r="BD230" s="170"/>
      <c r="BE230" s="170"/>
      <c r="BF230" s="170"/>
      <c r="BG230" s="170"/>
      <c r="BH230" s="170"/>
      <c r="BI230" s="170"/>
      <c r="BJ230" s="170"/>
      <c r="BK230" s="167">
        <f t="shared" si="192"/>
        <v>0</v>
      </c>
      <c r="BL230" s="167">
        <f t="shared" si="193"/>
        <v>0</v>
      </c>
      <c r="BM230" s="167">
        <f t="shared" si="194"/>
        <v>0</v>
      </c>
      <c r="BN230" s="167">
        <f t="shared" si="195"/>
        <v>0</v>
      </c>
    </row>
    <row r="231" spans="1:66" s="171" customFormat="1" ht="15.75" hidden="1" customHeight="1" outlineLevel="3" x14ac:dyDescent="0.3">
      <c r="A231" s="169"/>
      <c r="B231" s="169"/>
      <c r="C231" s="169"/>
      <c r="D231" s="169"/>
      <c r="E231" s="169" t="s">
        <v>2591</v>
      </c>
      <c r="F231" s="169" t="s">
        <v>64</v>
      </c>
      <c r="G231" s="169">
        <v>33</v>
      </c>
      <c r="H231" s="169" t="s">
        <v>183</v>
      </c>
      <c r="I231" s="165">
        <f t="shared" si="224"/>
        <v>19842500</v>
      </c>
      <c r="J231" s="718">
        <f t="shared" si="225"/>
        <v>19842500</v>
      </c>
      <c r="K231" s="150">
        <f t="shared" si="216"/>
        <v>0</v>
      </c>
      <c r="L231" s="150">
        <f t="shared" si="226"/>
        <v>19842500</v>
      </c>
      <c r="M231" s="166"/>
      <c r="N231" s="150">
        <v>2773500</v>
      </c>
      <c r="O231" s="150">
        <v>6488000</v>
      </c>
      <c r="P231" s="150"/>
      <c r="Q231" s="150"/>
      <c r="R231" s="150"/>
      <c r="S231" s="150">
        <v>3063000</v>
      </c>
      <c r="T231" s="150"/>
      <c r="U231" s="150"/>
      <c r="V231" s="150">
        <v>2198000</v>
      </c>
      <c r="W231" s="150"/>
      <c r="X231" s="150">
        <v>1140000</v>
      </c>
      <c r="Y231" s="150">
        <v>2090000</v>
      </c>
      <c r="Z231" s="150">
        <v>2090000</v>
      </c>
      <c r="AA231" s="150"/>
      <c r="AB231" s="150"/>
      <c r="AC231" s="150"/>
      <c r="AD231" s="150"/>
      <c r="AE231" s="150"/>
      <c r="AF231" s="150"/>
      <c r="AG231" s="150"/>
      <c r="AH231" s="150"/>
      <c r="AI231" s="150"/>
      <c r="AJ231" s="150"/>
      <c r="AK231" s="150"/>
      <c r="AL231" s="150"/>
      <c r="AM231" s="150"/>
      <c r="AN231" s="150"/>
      <c r="AO231" s="150"/>
      <c r="AP231" s="150"/>
      <c r="AQ231" s="150"/>
      <c r="AR231" s="150"/>
      <c r="AS231" s="150"/>
      <c r="AT231" s="150"/>
      <c r="AU231" s="150"/>
      <c r="AV231" s="150"/>
      <c r="AW231" s="150"/>
      <c r="AX231" s="150"/>
      <c r="AY231" s="150"/>
      <c r="AZ231" s="150"/>
      <c r="BA231" s="150"/>
      <c r="BB231" s="150"/>
      <c r="BC231" s="170"/>
      <c r="BD231" s="170"/>
      <c r="BE231" s="170"/>
      <c r="BF231" s="170"/>
      <c r="BG231" s="170"/>
      <c r="BH231" s="170"/>
      <c r="BI231" s="170"/>
      <c r="BJ231" s="170"/>
      <c r="BK231" s="167">
        <f t="shared" si="192"/>
        <v>19842500</v>
      </c>
      <c r="BL231" s="167">
        <f t="shared" si="193"/>
        <v>0</v>
      </c>
      <c r="BM231" s="167">
        <f t="shared" si="194"/>
        <v>0</v>
      </c>
      <c r="BN231" s="167">
        <f t="shared" si="195"/>
        <v>0</v>
      </c>
    </row>
    <row r="232" spans="1:66" s="171" customFormat="1" ht="15.75" hidden="1" customHeight="1" outlineLevel="3" x14ac:dyDescent="0.3">
      <c r="A232" s="169"/>
      <c r="B232" s="169"/>
      <c r="C232" s="169"/>
      <c r="D232" s="169"/>
      <c r="E232" s="169" t="s">
        <v>2591</v>
      </c>
      <c r="F232" s="169" t="s">
        <v>64</v>
      </c>
      <c r="G232" s="169">
        <v>34</v>
      </c>
      <c r="H232" s="169" t="s">
        <v>185</v>
      </c>
      <c r="I232" s="165">
        <f t="shared" si="224"/>
        <v>0</v>
      </c>
      <c r="J232" s="718">
        <f t="shared" si="225"/>
        <v>0</v>
      </c>
      <c r="K232" s="150">
        <f t="shared" si="216"/>
        <v>0</v>
      </c>
      <c r="L232" s="150">
        <f t="shared" si="226"/>
        <v>0</v>
      </c>
      <c r="M232" s="166"/>
      <c r="N232" s="150"/>
      <c r="O232" s="150"/>
      <c r="P232" s="150"/>
      <c r="Q232" s="150"/>
      <c r="R232" s="150"/>
      <c r="S232" s="150"/>
      <c r="T232" s="150"/>
      <c r="U232" s="150"/>
      <c r="V232" s="150"/>
      <c r="W232" s="150"/>
      <c r="X232" s="150"/>
      <c r="Y232" s="150"/>
      <c r="Z232" s="150"/>
      <c r="AA232" s="150"/>
      <c r="AB232" s="150"/>
      <c r="AC232" s="150"/>
      <c r="AD232" s="150"/>
      <c r="AE232" s="150"/>
      <c r="AF232" s="150"/>
      <c r="AG232" s="150"/>
      <c r="AH232" s="150"/>
      <c r="AI232" s="150"/>
      <c r="AJ232" s="150"/>
      <c r="AK232" s="150"/>
      <c r="AL232" s="150"/>
      <c r="AM232" s="150"/>
      <c r="AN232" s="150"/>
      <c r="AO232" s="150"/>
      <c r="AP232" s="150"/>
      <c r="AQ232" s="150"/>
      <c r="AR232" s="150"/>
      <c r="AS232" s="150"/>
      <c r="AT232" s="150"/>
      <c r="AU232" s="150"/>
      <c r="AV232" s="150"/>
      <c r="AW232" s="150"/>
      <c r="AX232" s="150"/>
      <c r="AY232" s="150"/>
      <c r="AZ232" s="150"/>
      <c r="BA232" s="150"/>
      <c r="BB232" s="150"/>
      <c r="BC232" s="170"/>
      <c r="BD232" s="170"/>
      <c r="BE232" s="170"/>
      <c r="BF232" s="170"/>
      <c r="BG232" s="170"/>
      <c r="BH232" s="170"/>
      <c r="BI232" s="170"/>
      <c r="BJ232" s="170"/>
      <c r="BK232" s="167">
        <f t="shared" si="192"/>
        <v>0</v>
      </c>
      <c r="BL232" s="167">
        <f t="shared" si="193"/>
        <v>0</v>
      </c>
      <c r="BM232" s="167">
        <f t="shared" si="194"/>
        <v>0</v>
      </c>
      <c r="BN232" s="167">
        <f t="shared" si="195"/>
        <v>0</v>
      </c>
    </row>
    <row r="233" spans="1:66" s="171" customFormat="1" ht="15.75" hidden="1" customHeight="1" outlineLevel="3" x14ac:dyDescent="0.3">
      <c r="A233" s="169"/>
      <c r="B233" s="169"/>
      <c r="C233" s="169"/>
      <c r="D233" s="169"/>
      <c r="E233" s="169" t="s">
        <v>2591</v>
      </c>
      <c r="F233" s="169" t="s">
        <v>64</v>
      </c>
      <c r="G233" s="169">
        <v>35</v>
      </c>
      <c r="H233" s="169" t="s">
        <v>187</v>
      </c>
      <c r="I233" s="165">
        <f t="shared" si="224"/>
        <v>0</v>
      </c>
      <c r="J233" s="718">
        <f t="shared" si="225"/>
        <v>0</v>
      </c>
      <c r="K233" s="150">
        <f t="shared" si="216"/>
        <v>0</v>
      </c>
      <c r="L233" s="150">
        <f t="shared" si="226"/>
        <v>0</v>
      </c>
      <c r="M233" s="166"/>
      <c r="N233" s="150"/>
      <c r="O233" s="150"/>
      <c r="P233" s="150"/>
      <c r="Q233" s="150"/>
      <c r="R233" s="150"/>
      <c r="S233" s="150"/>
      <c r="T233" s="150"/>
      <c r="U233" s="150"/>
      <c r="V233" s="150"/>
      <c r="W233" s="150"/>
      <c r="X233" s="150"/>
      <c r="Y233" s="150"/>
      <c r="Z233" s="150"/>
      <c r="AA233" s="150"/>
      <c r="AB233" s="150"/>
      <c r="AC233" s="150"/>
      <c r="AD233" s="150"/>
      <c r="AE233" s="150"/>
      <c r="AF233" s="150"/>
      <c r="AG233" s="150"/>
      <c r="AH233" s="150"/>
      <c r="AI233" s="150"/>
      <c r="AJ233" s="150"/>
      <c r="AK233" s="150"/>
      <c r="AL233" s="150"/>
      <c r="AM233" s="150"/>
      <c r="AN233" s="150"/>
      <c r="AO233" s="150"/>
      <c r="AP233" s="150"/>
      <c r="AQ233" s="150"/>
      <c r="AR233" s="150"/>
      <c r="AS233" s="150"/>
      <c r="AT233" s="150"/>
      <c r="AU233" s="150"/>
      <c r="AV233" s="150"/>
      <c r="AW233" s="150"/>
      <c r="AX233" s="150"/>
      <c r="AY233" s="150"/>
      <c r="AZ233" s="150"/>
      <c r="BA233" s="150"/>
      <c r="BB233" s="150"/>
      <c r="BC233" s="170"/>
      <c r="BD233" s="170"/>
      <c r="BE233" s="170"/>
      <c r="BF233" s="170"/>
      <c r="BG233" s="170"/>
      <c r="BH233" s="170"/>
      <c r="BI233" s="170"/>
      <c r="BJ233" s="170"/>
      <c r="BK233" s="167">
        <f t="shared" si="192"/>
        <v>0</v>
      </c>
      <c r="BL233" s="167">
        <f t="shared" si="193"/>
        <v>0</v>
      </c>
      <c r="BM233" s="167">
        <f t="shared" si="194"/>
        <v>0</v>
      </c>
      <c r="BN233" s="167">
        <f t="shared" si="195"/>
        <v>0</v>
      </c>
    </row>
    <row r="234" spans="1:66" s="171" customFormat="1" ht="15.75" hidden="1" customHeight="1" outlineLevel="3" x14ac:dyDescent="0.3">
      <c r="A234" s="169"/>
      <c r="B234" s="169"/>
      <c r="C234" s="169"/>
      <c r="D234" s="169"/>
      <c r="E234" s="169" t="s">
        <v>2591</v>
      </c>
      <c r="F234" s="169" t="s">
        <v>64</v>
      </c>
      <c r="G234" s="169">
        <v>36</v>
      </c>
      <c r="H234" s="169" t="s">
        <v>189</v>
      </c>
      <c r="I234" s="165">
        <f t="shared" si="224"/>
        <v>0</v>
      </c>
      <c r="J234" s="718">
        <f t="shared" si="225"/>
        <v>0</v>
      </c>
      <c r="K234" s="150">
        <f t="shared" si="216"/>
        <v>0</v>
      </c>
      <c r="L234" s="150">
        <f t="shared" si="226"/>
        <v>0</v>
      </c>
      <c r="M234" s="166"/>
      <c r="N234" s="150"/>
      <c r="O234" s="150"/>
      <c r="P234" s="150"/>
      <c r="Q234" s="150"/>
      <c r="R234" s="150"/>
      <c r="S234" s="150"/>
      <c r="T234" s="150"/>
      <c r="U234" s="150"/>
      <c r="V234" s="150"/>
      <c r="W234" s="150"/>
      <c r="X234" s="150"/>
      <c r="Y234" s="150"/>
      <c r="Z234" s="150"/>
      <c r="AA234" s="150"/>
      <c r="AB234" s="150"/>
      <c r="AC234" s="150"/>
      <c r="AD234" s="150"/>
      <c r="AE234" s="150"/>
      <c r="AF234" s="150"/>
      <c r="AG234" s="150"/>
      <c r="AH234" s="150"/>
      <c r="AI234" s="150"/>
      <c r="AJ234" s="150"/>
      <c r="AK234" s="150"/>
      <c r="AL234" s="150"/>
      <c r="AM234" s="150"/>
      <c r="AN234" s="150"/>
      <c r="AO234" s="150"/>
      <c r="AP234" s="150"/>
      <c r="AQ234" s="150"/>
      <c r="AR234" s="150"/>
      <c r="AS234" s="150"/>
      <c r="AT234" s="150"/>
      <c r="AU234" s="150"/>
      <c r="AV234" s="150"/>
      <c r="AW234" s="150"/>
      <c r="AX234" s="150"/>
      <c r="AY234" s="150"/>
      <c r="AZ234" s="150"/>
      <c r="BA234" s="150"/>
      <c r="BB234" s="150"/>
      <c r="BC234" s="170"/>
      <c r="BD234" s="170"/>
      <c r="BE234" s="170"/>
      <c r="BF234" s="170"/>
      <c r="BG234" s="170"/>
      <c r="BH234" s="170"/>
      <c r="BI234" s="170"/>
      <c r="BJ234" s="170"/>
      <c r="BK234" s="167">
        <f t="shared" si="192"/>
        <v>0</v>
      </c>
      <c r="BL234" s="167">
        <f t="shared" si="193"/>
        <v>0</v>
      </c>
      <c r="BM234" s="167">
        <f t="shared" si="194"/>
        <v>0</v>
      </c>
      <c r="BN234" s="167">
        <f t="shared" si="195"/>
        <v>0</v>
      </c>
    </row>
    <row r="235" spans="1:66" s="171" customFormat="1" ht="15.75" hidden="1" customHeight="1" outlineLevel="3" x14ac:dyDescent="0.3">
      <c r="A235" s="169"/>
      <c r="B235" s="169"/>
      <c r="C235" s="169"/>
      <c r="D235" s="169"/>
      <c r="E235" s="169" t="s">
        <v>2591</v>
      </c>
      <c r="F235" s="169" t="s">
        <v>64</v>
      </c>
      <c r="G235" s="169">
        <v>37</v>
      </c>
      <c r="H235" s="169" t="s">
        <v>191</v>
      </c>
      <c r="I235" s="165">
        <f t="shared" si="224"/>
        <v>0</v>
      </c>
      <c r="J235" s="718">
        <f t="shared" si="225"/>
        <v>0</v>
      </c>
      <c r="K235" s="150">
        <f t="shared" si="216"/>
        <v>0</v>
      </c>
      <c r="L235" s="150">
        <f t="shared" si="226"/>
        <v>0</v>
      </c>
      <c r="M235" s="166"/>
      <c r="N235" s="150"/>
      <c r="O235" s="150"/>
      <c r="P235" s="150"/>
      <c r="Q235" s="150"/>
      <c r="R235" s="150"/>
      <c r="S235" s="150"/>
      <c r="T235" s="150"/>
      <c r="U235" s="150"/>
      <c r="V235" s="150"/>
      <c r="W235" s="150"/>
      <c r="X235" s="150"/>
      <c r="Y235" s="150"/>
      <c r="Z235" s="150"/>
      <c r="AA235" s="150"/>
      <c r="AB235" s="150"/>
      <c r="AC235" s="150"/>
      <c r="AD235" s="150"/>
      <c r="AE235" s="150"/>
      <c r="AF235" s="150"/>
      <c r="AG235" s="150"/>
      <c r="AH235" s="150"/>
      <c r="AI235" s="150"/>
      <c r="AJ235" s="150"/>
      <c r="AK235" s="150"/>
      <c r="AL235" s="150"/>
      <c r="AM235" s="150"/>
      <c r="AN235" s="150"/>
      <c r="AO235" s="150"/>
      <c r="AP235" s="150"/>
      <c r="AQ235" s="150"/>
      <c r="AR235" s="150"/>
      <c r="AS235" s="150"/>
      <c r="AT235" s="150"/>
      <c r="AU235" s="150"/>
      <c r="AV235" s="150"/>
      <c r="AW235" s="150"/>
      <c r="AX235" s="150"/>
      <c r="AY235" s="150"/>
      <c r="AZ235" s="150"/>
      <c r="BA235" s="150"/>
      <c r="BB235" s="150"/>
      <c r="BC235" s="170"/>
      <c r="BD235" s="170"/>
      <c r="BE235" s="170"/>
      <c r="BF235" s="170"/>
      <c r="BG235" s="170"/>
      <c r="BH235" s="170"/>
      <c r="BI235" s="170"/>
      <c r="BJ235" s="170"/>
      <c r="BK235" s="167">
        <f t="shared" si="192"/>
        <v>0</v>
      </c>
      <c r="BL235" s="167">
        <f t="shared" si="193"/>
        <v>0</v>
      </c>
      <c r="BM235" s="167">
        <f t="shared" si="194"/>
        <v>0</v>
      </c>
      <c r="BN235" s="167">
        <f t="shared" si="195"/>
        <v>0</v>
      </c>
    </row>
    <row r="236" spans="1:66" s="171" customFormat="1" ht="15.75" hidden="1" customHeight="1" outlineLevel="3" x14ac:dyDescent="0.3">
      <c r="A236" s="169"/>
      <c r="B236" s="169"/>
      <c r="C236" s="169"/>
      <c r="D236" s="169"/>
      <c r="E236" s="169" t="s">
        <v>2591</v>
      </c>
      <c r="F236" s="169" t="s">
        <v>64</v>
      </c>
      <c r="G236" s="169">
        <v>38</v>
      </c>
      <c r="H236" s="169" t="s">
        <v>193</v>
      </c>
      <c r="I236" s="165">
        <f t="shared" si="224"/>
        <v>10876600</v>
      </c>
      <c r="J236" s="718">
        <f t="shared" si="225"/>
        <v>10876600</v>
      </c>
      <c r="K236" s="150">
        <f t="shared" si="216"/>
        <v>0</v>
      </c>
      <c r="L236" s="150">
        <f t="shared" si="226"/>
        <v>10876600</v>
      </c>
      <c r="M236" s="166"/>
      <c r="N236" s="150">
        <v>1164000</v>
      </c>
      <c r="O236" s="150">
        <v>593600</v>
      </c>
      <c r="P236" s="150">
        <v>380000</v>
      </c>
      <c r="Q236" s="150">
        <v>1388000</v>
      </c>
      <c r="R236" s="150">
        <v>640000</v>
      </c>
      <c r="S236" s="150">
        <v>800000</v>
      </c>
      <c r="T236" s="150">
        <v>560000</v>
      </c>
      <c r="U236" s="150">
        <v>900000</v>
      </c>
      <c r="V236" s="150">
        <v>2200000</v>
      </c>
      <c r="W236" s="150">
        <v>700000</v>
      </c>
      <c r="X236" s="150"/>
      <c r="Y236" s="150">
        <v>830000</v>
      </c>
      <c r="Z236" s="150">
        <v>320000</v>
      </c>
      <c r="AA236" s="150">
        <v>401000</v>
      </c>
      <c r="AB236" s="150"/>
      <c r="AC236" s="150"/>
      <c r="AD236" s="150"/>
      <c r="AE236" s="150"/>
      <c r="AF236" s="150"/>
      <c r="AG236" s="150"/>
      <c r="AH236" s="150"/>
      <c r="AI236" s="150"/>
      <c r="AJ236" s="150"/>
      <c r="AK236" s="150"/>
      <c r="AL236" s="150"/>
      <c r="AM236" s="150"/>
      <c r="AN236" s="150"/>
      <c r="AO236" s="150"/>
      <c r="AP236" s="150"/>
      <c r="AQ236" s="150"/>
      <c r="AR236" s="150"/>
      <c r="AS236" s="150"/>
      <c r="AT236" s="150"/>
      <c r="AU236" s="150"/>
      <c r="AV236" s="150"/>
      <c r="AW236" s="150"/>
      <c r="AX236" s="150"/>
      <c r="AY236" s="150"/>
      <c r="AZ236" s="150"/>
      <c r="BA236" s="150"/>
      <c r="BB236" s="150"/>
      <c r="BC236" s="170"/>
      <c r="BD236" s="170"/>
      <c r="BE236" s="170"/>
      <c r="BF236" s="170"/>
      <c r="BG236" s="170"/>
      <c r="BH236" s="170"/>
      <c r="BI236" s="170"/>
      <c r="BJ236" s="170"/>
      <c r="BK236" s="167">
        <f t="shared" si="192"/>
        <v>10876600</v>
      </c>
      <c r="BL236" s="167">
        <f t="shared" si="193"/>
        <v>0</v>
      </c>
      <c r="BM236" s="167">
        <f t="shared" si="194"/>
        <v>0</v>
      </c>
      <c r="BN236" s="167">
        <f t="shared" si="195"/>
        <v>0</v>
      </c>
    </row>
    <row r="237" spans="1:66" s="171" customFormat="1" ht="15.75" hidden="1" customHeight="1" outlineLevel="3" x14ac:dyDescent="0.3">
      <c r="A237" s="169"/>
      <c r="B237" s="169"/>
      <c r="C237" s="169"/>
      <c r="D237" s="169"/>
      <c r="E237" s="169" t="s">
        <v>2591</v>
      </c>
      <c r="F237" s="169" t="s">
        <v>64</v>
      </c>
      <c r="G237" s="169">
        <v>39</v>
      </c>
      <c r="H237" s="169" t="s">
        <v>195</v>
      </c>
      <c r="I237" s="165">
        <f t="shared" si="224"/>
        <v>1303824</v>
      </c>
      <c r="J237" s="718">
        <f t="shared" si="225"/>
        <v>1303824</v>
      </c>
      <c r="K237" s="150">
        <f t="shared" ref="K237:K264" si="227">+I237-J237</f>
        <v>0</v>
      </c>
      <c r="L237" s="150">
        <f t="shared" si="226"/>
        <v>1303824</v>
      </c>
      <c r="M237" s="166"/>
      <c r="N237" s="150">
        <v>198408</v>
      </c>
      <c r="O237" s="150">
        <v>113376</v>
      </c>
      <c r="P237" s="150">
        <v>28344</v>
      </c>
      <c r="Q237" s="150">
        <v>141720</v>
      </c>
      <c r="R237" s="150">
        <v>56688</v>
      </c>
      <c r="S237" s="150">
        <v>85032</v>
      </c>
      <c r="T237" s="150">
        <v>42516</v>
      </c>
      <c r="U237" s="150">
        <v>85032</v>
      </c>
      <c r="V237" s="150">
        <v>113376</v>
      </c>
      <c r="W237" s="150">
        <v>56688</v>
      </c>
      <c r="X237" s="150">
        <v>28344</v>
      </c>
      <c r="Y237" s="150">
        <v>99204</v>
      </c>
      <c r="Z237" s="150">
        <v>70860</v>
      </c>
      <c r="AA237" s="150">
        <v>127548</v>
      </c>
      <c r="AB237" s="150"/>
      <c r="AC237" s="150"/>
      <c r="AD237" s="150"/>
      <c r="AE237" s="150"/>
      <c r="AF237" s="150"/>
      <c r="AG237" s="150">
        <v>56688</v>
      </c>
      <c r="AH237" s="150"/>
      <c r="AI237" s="150"/>
      <c r="AJ237" s="150"/>
      <c r="AK237" s="150"/>
      <c r="AL237" s="150"/>
      <c r="AM237" s="150"/>
      <c r="AN237" s="150"/>
      <c r="AO237" s="150"/>
      <c r="AP237" s="150"/>
      <c r="AQ237" s="150"/>
      <c r="AR237" s="150"/>
      <c r="AS237" s="150"/>
      <c r="AT237" s="150"/>
      <c r="AU237" s="150"/>
      <c r="AV237" s="150"/>
      <c r="AW237" s="150"/>
      <c r="AX237" s="150"/>
      <c r="AY237" s="150"/>
      <c r="AZ237" s="150"/>
      <c r="BA237" s="150"/>
      <c r="BB237" s="150"/>
      <c r="BC237" s="170"/>
      <c r="BD237" s="170"/>
      <c r="BE237" s="170"/>
      <c r="BF237" s="170"/>
      <c r="BG237" s="170"/>
      <c r="BH237" s="170"/>
      <c r="BI237" s="170"/>
      <c r="BJ237" s="170"/>
      <c r="BK237" s="167">
        <f t="shared" si="192"/>
        <v>1247136</v>
      </c>
      <c r="BL237" s="167">
        <f t="shared" si="193"/>
        <v>0</v>
      </c>
      <c r="BM237" s="167">
        <f t="shared" si="194"/>
        <v>56688</v>
      </c>
      <c r="BN237" s="167">
        <f t="shared" si="195"/>
        <v>0</v>
      </c>
    </row>
    <row r="238" spans="1:66" s="171" customFormat="1" ht="15.75" hidden="1" customHeight="1" outlineLevel="3" x14ac:dyDescent="0.3">
      <c r="A238" s="169"/>
      <c r="B238" s="169"/>
      <c r="C238" s="169"/>
      <c r="D238" s="169"/>
      <c r="E238" s="169" t="s">
        <v>2591</v>
      </c>
      <c r="F238" s="169" t="s">
        <v>64</v>
      </c>
      <c r="G238" s="169">
        <v>40</v>
      </c>
      <c r="H238" s="169" t="s">
        <v>197</v>
      </c>
      <c r="I238" s="165">
        <f t="shared" si="224"/>
        <v>3360000</v>
      </c>
      <c r="J238" s="718">
        <f t="shared" si="225"/>
        <v>3360000</v>
      </c>
      <c r="K238" s="150">
        <f t="shared" si="227"/>
        <v>0</v>
      </c>
      <c r="L238" s="150">
        <f t="shared" si="226"/>
        <v>3360000</v>
      </c>
      <c r="M238" s="166"/>
      <c r="N238" s="150"/>
      <c r="O238" s="150"/>
      <c r="P238" s="150"/>
      <c r="Q238" s="150"/>
      <c r="R238" s="150"/>
      <c r="S238" s="150"/>
      <c r="T238" s="150"/>
      <c r="U238" s="150"/>
      <c r="V238" s="150"/>
      <c r="W238" s="150"/>
      <c r="X238" s="150"/>
      <c r="Y238" s="150"/>
      <c r="Z238" s="150"/>
      <c r="AA238" s="150"/>
      <c r="AB238" s="150"/>
      <c r="AC238" s="150"/>
      <c r="AD238" s="150"/>
      <c r="AE238" s="150"/>
      <c r="AF238" s="150"/>
      <c r="AG238" s="150">
        <v>3360000</v>
      </c>
      <c r="AH238" s="150"/>
      <c r="AI238" s="150"/>
      <c r="AJ238" s="150"/>
      <c r="AK238" s="150"/>
      <c r="AL238" s="150"/>
      <c r="AM238" s="150"/>
      <c r="AN238" s="150"/>
      <c r="AO238" s="150"/>
      <c r="AP238" s="150"/>
      <c r="AQ238" s="150"/>
      <c r="AR238" s="150"/>
      <c r="AS238" s="150"/>
      <c r="AT238" s="150"/>
      <c r="AU238" s="150"/>
      <c r="AV238" s="150"/>
      <c r="AW238" s="150"/>
      <c r="AX238" s="150"/>
      <c r="AY238" s="150"/>
      <c r="AZ238" s="150"/>
      <c r="BA238" s="150"/>
      <c r="BB238" s="150"/>
      <c r="BC238" s="170"/>
      <c r="BD238" s="170"/>
      <c r="BE238" s="170"/>
      <c r="BF238" s="170"/>
      <c r="BG238" s="170"/>
      <c r="BH238" s="170"/>
      <c r="BI238" s="170"/>
      <c r="BJ238" s="170"/>
      <c r="BK238" s="167">
        <f t="shared" si="192"/>
        <v>0</v>
      </c>
      <c r="BL238" s="167">
        <f t="shared" si="193"/>
        <v>0</v>
      </c>
      <c r="BM238" s="167">
        <f t="shared" si="194"/>
        <v>3360000</v>
      </c>
      <c r="BN238" s="167">
        <f t="shared" si="195"/>
        <v>0</v>
      </c>
    </row>
    <row r="239" spans="1:66" s="171" customFormat="1" ht="15.75" hidden="1" customHeight="1" outlineLevel="3" x14ac:dyDescent="0.3">
      <c r="A239" s="169"/>
      <c r="B239" s="169"/>
      <c r="C239" s="169"/>
      <c r="D239" s="169"/>
      <c r="E239" s="169" t="s">
        <v>2591</v>
      </c>
      <c r="F239" s="169" t="s">
        <v>64</v>
      </c>
      <c r="G239" s="169">
        <v>41</v>
      </c>
      <c r="H239" s="169" t="s">
        <v>199</v>
      </c>
      <c r="I239" s="165">
        <f t="shared" si="224"/>
        <v>0</v>
      </c>
      <c r="J239" s="718">
        <f t="shared" si="225"/>
        <v>0</v>
      </c>
      <c r="K239" s="150">
        <f t="shared" si="227"/>
        <v>0</v>
      </c>
      <c r="L239" s="150">
        <f t="shared" si="226"/>
        <v>0</v>
      </c>
      <c r="M239" s="166"/>
      <c r="N239" s="150"/>
      <c r="O239" s="150"/>
      <c r="P239" s="150"/>
      <c r="Q239" s="150"/>
      <c r="R239" s="150"/>
      <c r="S239" s="150"/>
      <c r="T239" s="150"/>
      <c r="U239" s="150"/>
      <c r="V239" s="150"/>
      <c r="W239" s="150"/>
      <c r="X239" s="150"/>
      <c r="Y239" s="150"/>
      <c r="Z239" s="150"/>
      <c r="AA239" s="150"/>
      <c r="AB239" s="150"/>
      <c r="AC239" s="150"/>
      <c r="AD239" s="150"/>
      <c r="AE239" s="150"/>
      <c r="AF239" s="150"/>
      <c r="AG239" s="150"/>
      <c r="AH239" s="150"/>
      <c r="AI239" s="150"/>
      <c r="AJ239" s="150"/>
      <c r="AK239" s="150"/>
      <c r="AL239" s="150"/>
      <c r="AM239" s="150"/>
      <c r="AN239" s="150"/>
      <c r="AO239" s="150"/>
      <c r="AP239" s="150"/>
      <c r="AQ239" s="150"/>
      <c r="AR239" s="150"/>
      <c r="AS239" s="150"/>
      <c r="AT239" s="150"/>
      <c r="AU239" s="150"/>
      <c r="AV239" s="150"/>
      <c r="AW239" s="150"/>
      <c r="AX239" s="150"/>
      <c r="AY239" s="150"/>
      <c r="AZ239" s="150"/>
      <c r="BA239" s="150"/>
      <c r="BB239" s="150"/>
      <c r="BC239" s="170"/>
      <c r="BD239" s="170"/>
      <c r="BE239" s="170"/>
      <c r="BF239" s="170"/>
      <c r="BG239" s="170"/>
      <c r="BH239" s="170"/>
      <c r="BI239" s="170"/>
      <c r="BJ239" s="170"/>
      <c r="BK239" s="167">
        <f t="shared" si="192"/>
        <v>0</v>
      </c>
      <c r="BL239" s="167">
        <f t="shared" si="193"/>
        <v>0</v>
      </c>
      <c r="BM239" s="167">
        <f t="shared" si="194"/>
        <v>0</v>
      </c>
      <c r="BN239" s="167">
        <f t="shared" si="195"/>
        <v>0</v>
      </c>
    </row>
    <row r="240" spans="1:66" s="171" customFormat="1" ht="15.75" hidden="1" customHeight="1" outlineLevel="3" x14ac:dyDescent="0.3">
      <c r="A240" s="169"/>
      <c r="B240" s="169"/>
      <c r="C240" s="169"/>
      <c r="D240" s="169"/>
      <c r="E240" s="169" t="s">
        <v>2591</v>
      </c>
      <c r="F240" s="169" t="s">
        <v>64</v>
      </c>
      <c r="G240" s="169">
        <v>42</v>
      </c>
      <c r="H240" s="169" t="s">
        <v>201</v>
      </c>
      <c r="I240" s="165">
        <f t="shared" si="224"/>
        <v>0</v>
      </c>
      <c r="J240" s="718">
        <f t="shared" si="225"/>
        <v>0</v>
      </c>
      <c r="K240" s="150">
        <f t="shared" si="227"/>
        <v>0</v>
      </c>
      <c r="L240" s="150">
        <f t="shared" si="226"/>
        <v>0</v>
      </c>
      <c r="M240" s="166"/>
      <c r="N240" s="150"/>
      <c r="O240" s="150"/>
      <c r="P240" s="150"/>
      <c r="Q240" s="150"/>
      <c r="R240" s="150"/>
      <c r="S240" s="150"/>
      <c r="T240" s="150"/>
      <c r="U240" s="150"/>
      <c r="V240" s="150"/>
      <c r="W240" s="150"/>
      <c r="X240" s="150"/>
      <c r="Y240" s="150"/>
      <c r="Z240" s="150"/>
      <c r="AA240" s="150"/>
      <c r="AB240" s="150"/>
      <c r="AC240" s="150"/>
      <c r="AD240" s="150"/>
      <c r="AE240" s="150"/>
      <c r="AF240" s="150"/>
      <c r="AG240" s="150"/>
      <c r="AH240" s="150"/>
      <c r="AI240" s="150"/>
      <c r="AJ240" s="150"/>
      <c r="AK240" s="150"/>
      <c r="AL240" s="150"/>
      <c r="AM240" s="150"/>
      <c r="AN240" s="150"/>
      <c r="AO240" s="150"/>
      <c r="AP240" s="150"/>
      <c r="AQ240" s="150"/>
      <c r="AR240" s="150"/>
      <c r="AS240" s="150"/>
      <c r="AT240" s="150"/>
      <c r="AU240" s="150"/>
      <c r="AV240" s="150"/>
      <c r="AW240" s="150"/>
      <c r="AX240" s="150"/>
      <c r="AY240" s="150"/>
      <c r="AZ240" s="150"/>
      <c r="BA240" s="150"/>
      <c r="BB240" s="150"/>
      <c r="BC240" s="170"/>
      <c r="BD240" s="170"/>
      <c r="BE240" s="170"/>
      <c r="BF240" s="170"/>
      <c r="BG240" s="170"/>
      <c r="BH240" s="170"/>
      <c r="BI240" s="170"/>
      <c r="BJ240" s="170"/>
      <c r="BK240" s="167">
        <f t="shared" si="192"/>
        <v>0</v>
      </c>
      <c r="BL240" s="167">
        <f t="shared" si="193"/>
        <v>0</v>
      </c>
      <c r="BM240" s="167">
        <f t="shared" si="194"/>
        <v>0</v>
      </c>
      <c r="BN240" s="167">
        <f t="shared" si="195"/>
        <v>0</v>
      </c>
    </row>
    <row r="241" spans="1:66" s="171" customFormat="1" ht="15.75" hidden="1" customHeight="1" outlineLevel="3" x14ac:dyDescent="0.3">
      <c r="A241" s="169"/>
      <c r="B241" s="169"/>
      <c r="C241" s="169"/>
      <c r="D241" s="169"/>
      <c r="E241" s="169" t="s">
        <v>2591</v>
      </c>
      <c r="F241" s="169" t="s">
        <v>64</v>
      </c>
      <c r="G241" s="169">
        <v>43</v>
      </c>
      <c r="H241" s="169" t="s">
        <v>203</v>
      </c>
      <c r="I241" s="165">
        <f t="shared" si="224"/>
        <v>0</v>
      </c>
      <c r="J241" s="718">
        <f t="shared" si="225"/>
        <v>0</v>
      </c>
      <c r="K241" s="150">
        <f t="shared" si="227"/>
        <v>0</v>
      </c>
      <c r="L241" s="150">
        <f t="shared" si="226"/>
        <v>0</v>
      </c>
      <c r="M241" s="166"/>
      <c r="N241" s="150"/>
      <c r="O241" s="150"/>
      <c r="P241" s="150"/>
      <c r="Q241" s="150"/>
      <c r="R241" s="150"/>
      <c r="S241" s="150"/>
      <c r="T241" s="150"/>
      <c r="U241" s="150"/>
      <c r="V241" s="150"/>
      <c r="W241" s="150"/>
      <c r="X241" s="150"/>
      <c r="Y241" s="150"/>
      <c r="Z241" s="150"/>
      <c r="AA241" s="150"/>
      <c r="AB241" s="150"/>
      <c r="AC241" s="150"/>
      <c r="AD241" s="150"/>
      <c r="AE241" s="150"/>
      <c r="AF241" s="150"/>
      <c r="AG241" s="150"/>
      <c r="AH241" s="150"/>
      <c r="AI241" s="150"/>
      <c r="AJ241" s="150"/>
      <c r="AK241" s="150"/>
      <c r="AL241" s="150"/>
      <c r="AM241" s="150"/>
      <c r="AN241" s="150"/>
      <c r="AO241" s="150"/>
      <c r="AP241" s="150"/>
      <c r="AQ241" s="150"/>
      <c r="AR241" s="150"/>
      <c r="AS241" s="150"/>
      <c r="AT241" s="150"/>
      <c r="AU241" s="150"/>
      <c r="AV241" s="150"/>
      <c r="AW241" s="150"/>
      <c r="AX241" s="150"/>
      <c r="AY241" s="150"/>
      <c r="AZ241" s="150"/>
      <c r="BA241" s="150"/>
      <c r="BB241" s="150"/>
      <c r="BC241" s="170"/>
      <c r="BD241" s="170"/>
      <c r="BE241" s="170"/>
      <c r="BF241" s="170"/>
      <c r="BG241" s="170"/>
      <c r="BH241" s="170"/>
      <c r="BI241" s="170"/>
      <c r="BJ241" s="170"/>
      <c r="BK241" s="167">
        <f t="shared" si="192"/>
        <v>0</v>
      </c>
      <c r="BL241" s="167">
        <f t="shared" si="193"/>
        <v>0</v>
      </c>
      <c r="BM241" s="167">
        <f t="shared" si="194"/>
        <v>0</v>
      </c>
      <c r="BN241" s="167">
        <f t="shared" si="195"/>
        <v>0</v>
      </c>
    </row>
    <row r="242" spans="1:66" s="171" customFormat="1" ht="15.75" hidden="1" customHeight="1" outlineLevel="3" x14ac:dyDescent="0.3">
      <c r="A242" s="169"/>
      <c r="B242" s="169"/>
      <c r="C242" s="169"/>
      <c r="D242" s="169"/>
      <c r="E242" s="169" t="s">
        <v>2591</v>
      </c>
      <c r="F242" s="169" t="s">
        <v>64</v>
      </c>
      <c r="G242" s="169">
        <v>44</v>
      </c>
      <c r="H242" s="169" t="s">
        <v>205</v>
      </c>
      <c r="I242" s="165">
        <f t="shared" si="224"/>
        <v>0</v>
      </c>
      <c r="J242" s="718">
        <f t="shared" si="225"/>
        <v>0</v>
      </c>
      <c r="K242" s="150">
        <f t="shared" si="227"/>
        <v>0</v>
      </c>
      <c r="L242" s="150">
        <f t="shared" si="226"/>
        <v>0</v>
      </c>
      <c r="M242" s="166"/>
      <c r="N242" s="150"/>
      <c r="O242" s="150"/>
      <c r="P242" s="150"/>
      <c r="Q242" s="150"/>
      <c r="R242" s="150"/>
      <c r="S242" s="150"/>
      <c r="T242" s="150"/>
      <c r="U242" s="150"/>
      <c r="V242" s="150"/>
      <c r="W242" s="150"/>
      <c r="X242" s="150"/>
      <c r="Y242" s="150"/>
      <c r="Z242" s="150"/>
      <c r="AA242" s="150"/>
      <c r="AB242" s="150"/>
      <c r="AC242" s="150"/>
      <c r="AD242" s="150"/>
      <c r="AE242" s="150"/>
      <c r="AF242" s="150"/>
      <c r="AG242" s="150"/>
      <c r="AH242" s="150"/>
      <c r="AI242" s="150"/>
      <c r="AJ242" s="150"/>
      <c r="AK242" s="150"/>
      <c r="AL242" s="150"/>
      <c r="AM242" s="150"/>
      <c r="AN242" s="150"/>
      <c r="AO242" s="150"/>
      <c r="AP242" s="150"/>
      <c r="AQ242" s="150"/>
      <c r="AR242" s="150"/>
      <c r="AS242" s="150"/>
      <c r="AT242" s="150"/>
      <c r="AU242" s="150"/>
      <c r="AV242" s="150"/>
      <c r="AW242" s="150"/>
      <c r="AX242" s="150"/>
      <c r="AY242" s="150"/>
      <c r="AZ242" s="150"/>
      <c r="BA242" s="150"/>
      <c r="BB242" s="150"/>
      <c r="BC242" s="170"/>
      <c r="BD242" s="170"/>
      <c r="BE242" s="170"/>
      <c r="BF242" s="170"/>
      <c r="BG242" s="170"/>
      <c r="BH242" s="170"/>
      <c r="BI242" s="170"/>
      <c r="BJ242" s="170"/>
      <c r="BK242" s="167">
        <f t="shared" si="192"/>
        <v>0</v>
      </c>
      <c r="BL242" s="167">
        <f t="shared" si="193"/>
        <v>0</v>
      </c>
      <c r="BM242" s="167">
        <f t="shared" si="194"/>
        <v>0</v>
      </c>
      <c r="BN242" s="167">
        <f t="shared" si="195"/>
        <v>0</v>
      </c>
    </row>
    <row r="243" spans="1:66" s="171" customFormat="1" ht="15.75" hidden="1" customHeight="1" outlineLevel="3" x14ac:dyDescent="0.3">
      <c r="A243" s="169"/>
      <c r="B243" s="169"/>
      <c r="C243" s="169"/>
      <c r="D243" s="169"/>
      <c r="E243" s="169" t="s">
        <v>2591</v>
      </c>
      <c r="F243" s="169" t="s">
        <v>64</v>
      </c>
      <c r="G243" s="169">
        <v>45</v>
      </c>
      <c r="H243" s="169" t="s">
        <v>207</v>
      </c>
      <c r="I243" s="165">
        <f t="shared" si="224"/>
        <v>0</v>
      </c>
      <c r="J243" s="718">
        <f t="shared" si="225"/>
        <v>0</v>
      </c>
      <c r="K243" s="150">
        <f t="shared" si="227"/>
        <v>0</v>
      </c>
      <c r="L243" s="150">
        <f t="shared" si="226"/>
        <v>0</v>
      </c>
      <c r="M243" s="166"/>
      <c r="N243" s="150"/>
      <c r="O243" s="150"/>
      <c r="P243" s="150"/>
      <c r="Q243" s="150"/>
      <c r="R243" s="150"/>
      <c r="S243" s="150"/>
      <c r="T243" s="150"/>
      <c r="U243" s="150"/>
      <c r="V243" s="150"/>
      <c r="W243" s="150"/>
      <c r="X243" s="150"/>
      <c r="Y243" s="150"/>
      <c r="Z243" s="150"/>
      <c r="AA243" s="150"/>
      <c r="AB243" s="150"/>
      <c r="AC243" s="150"/>
      <c r="AD243" s="150"/>
      <c r="AE243" s="150"/>
      <c r="AF243" s="150"/>
      <c r="AG243" s="150"/>
      <c r="AH243" s="150"/>
      <c r="AI243" s="150"/>
      <c r="AJ243" s="150"/>
      <c r="AK243" s="150"/>
      <c r="AL243" s="150"/>
      <c r="AM243" s="150"/>
      <c r="AN243" s="150"/>
      <c r="AO243" s="150"/>
      <c r="AP243" s="150"/>
      <c r="AQ243" s="150"/>
      <c r="AR243" s="150"/>
      <c r="AS243" s="150"/>
      <c r="AT243" s="150"/>
      <c r="AU243" s="150"/>
      <c r="AV243" s="150"/>
      <c r="AW243" s="150"/>
      <c r="AX243" s="150"/>
      <c r="AY243" s="150"/>
      <c r="AZ243" s="150"/>
      <c r="BA243" s="150"/>
      <c r="BB243" s="150"/>
      <c r="BC243" s="170"/>
      <c r="BD243" s="170"/>
      <c r="BE243" s="170"/>
      <c r="BF243" s="170"/>
      <c r="BG243" s="170"/>
      <c r="BH243" s="170"/>
      <c r="BI243" s="170"/>
      <c r="BJ243" s="170"/>
      <c r="BK243" s="167">
        <f t="shared" si="192"/>
        <v>0</v>
      </c>
      <c r="BL243" s="167">
        <f t="shared" si="193"/>
        <v>0</v>
      </c>
      <c r="BM243" s="167">
        <f t="shared" si="194"/>
        <v>0</v>
      </c>
      <c r="BN243" s="167">
        <f t="shared" si="195"/>
        <v>0</v>
      </c>
    </row>
    <row r="244" spans="1:66" s="171" customFormat="1" ht="15.75" hidden="1" customHeight="1" outlineLevel="3" x14ac:dyDescent="0.3">
      <c r="A244" s="169"/>
      <c r="B244" s="169"/>
      <c r="C244" s="169"/>
      <c r="D244" s="169"/>
      <c r="E244" s="169" t="s">
        <v>2591</v>
      </c>
      <c r="F244" s="169" t="s">
        <v>64</v>
      </c>
      <c r="G244" s="169">
        <v>46</v>
      </c>
      <c r="H244" s="169" t="s">
        <v>209</v>
      </c>
      <c r="I244" s="165">
        <f t="shared" si="224"/>
        <v>0</v>
      </c>
      <c r="J244" s="718">
        <f t="shared" si="225"/>
        <v>0</v>
      </c>
      <c r="K244" s="150">
        <f t="shared" si="227"/>
        <v>0</v>
      </c>
      <c r="L244" s="150">
        <f t="shared" si="226"/>
        <v>0</v>
      </c>
      <c r="M244" s="166"/>
      <c r="N244" s="150"/>
      <c r="O244" s="150"/>
      <c r="P244" s="150"/>
      <c r="Q244" s="150"/>
      <c r="R244" s="150"/>
      <c r="S244" s="150"/>
      <c r="T244" s="150"/>
      <c r="U244" s="150"/>
      <c r="V244" s="150"/>
      <c r="W244" s="150"/>
      <c r="X244" s="150"/>
      <c r="Y244" s="150"/>
      <c r="Z244" s="150"/>
      <c r="AA244" s="150"/>
      <c r="AB244" s="150"/>
      <c r="AC244" s="150"/>
      <c r="AD244" s="150"/>
      <c r="AE244" s="150"/>
      <c r="AF244" s="150"/>
      <c r="AG244" s="150"/>
      <c r="AH244" s="150"/>
      <c r="AI244" s="150"/>
      <c r="AJ244" s="150"/>
      <c r="AK244" s="150"/>
      <c r="AL244" s="150"/>
      <c r="AM244" s="150"/>
      <c r="AN244" s="150"/>
      <c r="AO244" s="150"/>
      <c r="AP244" s="150"/>
      <c r="AQ244" s="150"/>
      <c r="AR244" s="150"/>
      <c r="AS244" s="150"/>
      <c r="AT244" s="150"/>
      <c r="AU244" s="150"/>
      <c r="AV244" s="150"/>
      <c r="AW244" s="150"/>
      <c r="AX244" s="150"/>
      <c r="AY244" s="150"/>
      <c r="AZ244" s="150"/>
      <c r="BA244" s="150"/>
      <c r="BB244" s="150"/>
      <c r="BC244" s="170"/>
      <c r="BD244" s="170"/>
      <c r="BE244" s="170"/>
      <c r="BF244" s="170"/>
      <c r="BG244" s="170"/>
      <c r="BH244" s="170"/>
      <c r="BI244" s="170"/>
      <c r="BJ244" s="170"/>
      <c r="BK244" s="167">
        <f t="shared" si="192"/>
        <v>0</v>
      </c>
      <c r="BL244" s="167">
        <f t="shared" si="193"/>
        <v>0</v>
      </c>
      <c r="BM244" s="167">
        <f t="shared" si="194"/>
        <v>0</v>
      </c>
      <c r="BN244" s="167">
        <f t="shared" si="195"/>
        <v>0</v>
      </c>
    </row>
    <row r="245" spans="1:66" s="171" customFormat="1" ht="15.75" hidden="1" customHeight="1" outlineLevel="3" x14ac:dyDescent="0.3">
      <c r="A245" s="169"/>
      <c r="B245" s="169"/>
      <c r="C245" s="169"/>
      <c r="D245" s="169"/>
      <c r="E245" s="169" t="s">
        <v>2591</v>
      </c>
      <c r="F245" s="169" t="s">
        <v>64</v>
      </c>
      <c r="G245" s="169">
        <v>47</v>
      </c>
      <c r="H245" s="169" t="s">
        <v>211</v>
      </c>
      <c r="I245" s="165">
        <f t="shared" si="224"/>
        <v>7661000</v>
      </c>
      <c r="J245" s="718">
        <f t="shared" si="225"/>
        <v>7661000</v>
      </c>
      <c r="K245" s="150">
        <f t="shared" si="227"/>
        <v>0</v>
      </c>
      <c r="L245" s="150">
        <f t="shared" si="226"/>
        <v>7661000</v>
      </c>
      <c r="M245" s="166"/>
      <c r="N245" s="150"/>
      <c r="O245" s="150"/>
      <c r="P245" s="150"/>
      <c r="Q245" s="150"/>
      <c r="R245" s="150"/>
      <c r="S245" s="150">
        <v>210000</v>
      </c>
      <c r="T245" s="150"/>
      <c r="U245" s="150">
        <v>1652000</v>
      </c>
      <c r="V245" s="150">
        <v>2023000</v>
      </c>
      <c r="W245" s="150"/>
      <c r="X245" s="150"/>
      <c r="Y245" s="150">
        <v>1736000</v>
      </c>
      <c r="Z245" s="150"/>
      <c r="AA245" s="150"/>
      <c r="AB245" s="150"/>
      <c r="AC245" s="150">
        <v>0</v>
      </c>
      <c r="AD245" s="150"/>
      <c r="AE245" s="150"/>
      <c r="AF245" s="150"/>
      <c r="AG245" s="150">
        <v>2040000</v>
      </c>
      <c r="AH245" s="150"/>
      <c r="AI245" s="150"/>
      <c r="AJ245" s="150"/>
      <c r="AK245" s="150"/>
      <c r="AL245" s="150"/>
      <c r="AM245" s="150"/>
      <c r="AN245" s="150"/>
      <c r="AO245" s="150"/>
      <c r="AP245" s="150"/>
      <c r="AQ245" s="150"/>
      <c r="AR245" s="150"/>
      <c r="AS245" s="150"/>
      <c r="AT245" s="150"/>
      <c r="AU245" s="150"/>
      <c r="AV245" s="150"/>
      <c r="AW245" s="150"/>
      <c r="AX245" s="150"/>
      <c r="AY245" s="150"/>
      <c r="AZ245" s="150"/>
      <c r="BA245" s="150"/>
      <c r="BB245" s="150"/>
      <c r="BC245" s="170"/>
      <c r="BD245" s="170"/>
      <c r="BE245" s="170"/>
      <c r="BF245" s="170"/>
      <c r="BG245" s="170"/>
      <c r="BH245" s="170"/>
      <c r="BI245" s="170"/>
      <c r="BJ245" s="170"/>
      <c r="BK245" s="167">
        <f t="shared" si="192"/>
        <v>5621000</v>
      </c>
      <c r="BL245" s="167">
        <f t="shared" si="193"/>
        <v>0</v>
      </c>
      <c r="BM245" s="167">
        <f t="shared" si="194"/>
        <v>2040000</v>
      </c>
      <c r="BN245" s="167">
        <f t="shared" si="195"/>
        <v>0</v>
      </c>
    </row>
    <row r="246" spans="1:66" s="171" customFormat="1" ht="15.75" hidden="1" customHeight="1" outlineLevel="3" x14ac:dyDescent="0.3">
      <c r="A246" s="169"/>
      <c r="B246" s="169"/>
      <c r="C246" s="169"/>
      <c r="D246" s="169"/>
      <c r="E246" s="169" t="s">
        <v>2591</v>
      </c>
      <c r="F246" s="169" t="s">
        <v>64</v>
      </c>
      <c r="G246" s="169">
        <v>48</v>
      </c>
      <c r="H246" s="169" t="s">
        <v>213</v>
      </c>
      <c r="I246" s="165">
        <f t="shared" si="224"/>
        <v>0</v>
      </c>
      <c r="J246" s="718">
        <f t="shared" si="225"/>
        <v>0</v>
      </c>
      <c r="K246" s="150">
        <f t="shared" si="227"/>
        <v>0</v>
      </c>
      <c r="L246" s="150">
        <f t="shared" si="226"/>
        <v>0</v>
      </c>
      <c r="M246" s="166"/>
      <c r="N246" s="150"/>
      <c r="O246" s="150"/>
      <c r="P246" s="150"/>
      <c r="Q246" s="150"/>
      <c r="R246" s="150"/>
      <c r="S246" s="150"/>
      <c r="T246" s="150"/>
      <c r="U246" s="150"/>
      <c r="V246" s="150"/>
      <c r="W246" s="150"/>
      <c r="X246" s="150"/>
      <c r="Y246" s="150"/>
      <c r="Z246" s="150"/>
      <c r="AA246" s="150"/>
      <c r="AB246" s="150"/>
      <c r="AC246" s="150"/>
      <c r="AD246" s="150"/>
      <c r="AE246" s="150"/>
      <c r="AF246" s="150"/>
      <c r="AG246" s="150"/>
      <c r="AH246" s="150"/>
      <c r="AI246" s="150"/>
      <c r="AJ246" s="150"/>
      <c r="AK246" s="150"/>
      <c r="AL246" s="150"/>
      <c r="AM246" s="150"/>
      <c r="AN246" s="150"/>
      <c r="AO246" s="150"/>
      <c r="AP246" s="150"/>
      <c r="AQ246" s="150"/>
      <c r="AR246" s="150"/>
      <c r="AS246" s="150"/>
      <c r="AT246" s="150"/>
      <c r="AU246" s="150"/>
      <c r="AV246" s="150"/>
      <c r="AW246" s="150"/>
      <c r="AX246" s="150"/>
      <c r="AY246" s="150"/>
      <c r="AZ246" s="150"/>
      <c r="BA246" s="150"/>
      <c r="BB246" s="150"/>
      <c r="BC246" s="170"/>
      <c r="BD246" s="170"/>
      <c r="BE246" s="170"/>
      <c r="BF246" s="170"/>
      <c r="BG246" s="170"/>
      <c r="BH246" s="170"/>
      <c r="BI246" s="170"/>
      <c r="BJ246" s="170"/>
      <c r="BK246" s="167">
        <f t="shared" si="192"/>
        <v>0</v>
      </c>
      <c r="BL246" s="167">
        <f t="shared" si="193"/>
        <v>0</v>
      </c>
      <c r="BM246" s="167">
        <f t="shared" si="194"/>
        <v>0</v>
      </c>
      <c r="BN246" s="167">
        <f t="shared" si="195"/>
        <v>0</v>
      </c>
    </row>
    <row r="247" spans="1:66" s="171" customFormat="1" ht="15.75" hidden="1" customHeight="1" outlineLevel="3" x14ac:dyDescent="0.3">
      <c r="A247" s="169"/>
      <c r="B247" s="169"/>
      <c r="C247" s="169"/>
      <c r="D247" s="169"/>
      <c r="E247" s="169" t="s">
        <v>2591</v>
      </c>
      <c r="F247" s="169" t="s">
        <v>64</v>
      </c>
      <c r="G247" s="169">
        <v>49</v>
      </c>
      <c r="H247" s="169" t="s">
        <v>215</v>
      </c>
      <c r="I247" s="165">
        <f t="shared" si="224"/>
        <v>0</v>
      </c>
      <c r="J247" s="718">
        <f t="shared" si="225"/>
        <v>0</v>
      </c>
      <c r="K247" s="150">
        <f t="shared" si="227"/>
        <v>0</v>
      </c>
      <c r="L247" s="150">
        <f t="shared" si="226"/>
        <v>0</v>
      </c>
      <c r="M247" s="166"/>
      <c r="N247" s="150"/>
      <c r="O247" s="150"/>
      <c r="P247" s="150"/>
      <c r="Q247" s="150"/>
      <c r="R247" s="150"/>
      <c r="S247" s="150"/>
      <c r="T247" s="150"/>
      <c r="U247" s="150"/>
      <c r="V247" s="150"/>
      <c r="W247" s="150"/>
      <c r="X247" s="150"/>
      <c r="Y247" s="150"/>
      <c r="Z247" s="150"/>
      <c r="AA247" s="150"/>
      <c r="AB247" s="150"/>
      <c r="AC247" s="150"/>
      <c r="AD247" s="150"/>
      <c r="AE247" s="150"/>
      <c r="AF247" s="150"/>
      <c r="AG247" s="150"/>
      <c r="AH247" s="150"/>
      <c r="AI247" s="150"/>
      <c r="AJ247" s="150"/>
      <c r="AK247" s="150"/>
      <c r="AL247" s="150"/>
      <c r="AM247" s="150"/>
      <c r="AN247" s="150"/>
      <c r="AO247" s="150"/>
      <c r="AP247" s="150"/>
      <c r="AQ247" s="150"/>
      <c r="AR247" s="150"/>
      <c r="AS247" s="150"/>
      <c r="AT247" s="150"/>
      <c r="AU247" s="150"/>
      <c r="AV247" s="150"/>
      <c r="AW247" s="150"/>
      <c r="AX247" s="150"/>
      <c r="AY247" s="150"/>
      <c r="AZ247" s="150"/>
      <c r="BA247" s="150"/>
      <c r="BB247" s="150"/>
      <c r="BC247" s="170"/>
      <c r="BD247" s="170"/>
      <c r="BE247" s="170"/>
      <c r="BF247" s="170"/>
      <c r="BG247" s="170"/>
      <c r="BH247" s="170"/>
      <c r="BI247" s="170"/>
      <c r="BJ247" s="170"/>
      <c r="BK247" s="167">
        <f t="shared" si="192"/>
        <v>0</v>
      </c>
      <c r="BL247" s="167">
        <f t="shared" si="193"/>
        <v>0</v>
      </c>
      <c r="BM247" s="167">
        <f t="shared" si="194"/>
        <v>0</v>
      </c>
      <c r="BN247" s="167">
        <f t="shared" si="195"/>
        <v>0</v>
      </c>
    </row>
    <row r="248" spans="1:66" s="171" customFormat="1" ht="15.75" hidden="1" customHeight="1" outlineLevel="3" x14ac:dyDescent="0.3">
      <c r="A248" s="169"/>
      <c r="B248" s="169"/>
      <c r="C248" s="169"/>
      <c r="D248" s="169"/>
      <c r="E248" s="169" t="s">
        <v>2591</v>
      </c>
      <c r="F248" s="169" t="s">
        <v>64</v>
      </c>
      <c r="G248" s="169">
        <v>50</v>
      </c>
      <c r="H248" s="169" t="s">
        <v>217</v>
      </c>
      <c r="I248" s="165">
        <f t="shared" si="224"/>
        <v>0</v>
      </c>
      <c r="J248" s="718">
        <f t="shared" si="225"/>
        <v>0</v>
      </c>
      <c r="K248" s="150">
        <f t="shared" si="227"/>
        <v>0</v>
      </c>
      <c r="L248" s="150">
        <f t="shared" si="226"/>
        <v>0</v>
      </c>
      <c r="M248" s="166"/>
      <c r="N248" s="150"/>
      <c r="O248" s="150"/>
      <c r="P248" s="150"/>
      <c r="Q248" s="150"/>
      <c r="R248" s="150"/>
      <c r="S248" s="150"/>
      <c r="T248" s="150"/>
      <c r="U248" s="150"/>
      <c r="V248" s="150"/>
      <c r="W248" s="150"/>
      <c r="X248" s="150"/>
      <c r="Y248" s="150"/>
      <c r="Z248" s="150"/>
      <c r="AA248" s="150"/>
      <c r="AB248" s="150"/>
      <c r="AC248" s="150"/>
      <c r="AD248" s="150"/>
      <c r="AE248" s="150"/>
      <c r="AF248" s="150"/>
      <c r="AG248" s="150"/>
      <c r="AH248" s="150"/>
      <c r="AI248" s="150"/>
      <c r="AJ248" s="150"/>
      <c r="AK248" s="150"/>
      <c r="AL248" s="150"/>
      <c r="AM248" s="150"/>
      <c r="AN248" s="150"/>
      <c r="AO248" s="150"/>
      <c r="AP248" s="150"/>
      <c r="AQ248" s="150"/>
      <c r="AR248" s="150"/>
      <c r="AS248" s="150"/>
      <c r="AT248" s="150"/>
      <c r="AU248" s="150"/>
      <c r="AV248" s="150"/>
      <c r="AW248" s="150"/>
      <c r="AX248" s="150"/>
      <c r="AY248" s="150"/>
      <c r="AZ248" s="150"/>
      <c r="BA248" s="150"/>
      <c r="BB248" s="150"/>
      <c r="BC248" s="170"/>
      <c r="BD248" s="170"/>
      <c r="BE248" s="170"/>
      <c r="BF248" s="170"/>
      <c r="BG248" s="170"/>
      <c r="BH248" s="170"/>
      <c r="BI248" s="170"/>
      <c r="BJ248" s="170"/>
      <c r="BK248" s="167">
        <f t="shared" si="192"/>
        <v>0</v>
      </c>
      <c r="BL248" s="167">
        <f t="shared" si="193"/>
        <v>0</v>
      </c>
      <c r="BM248" s="167">
        <f t="shared" si="194"/>
        <v>0</v>
      </c>
      <c r="BN248" s="167">
        <f t="shared" si="195"/>
        <v>0</v>
      </c>
    </row>
    <row r="249" spans="1:66" s="171" customFormat="1" ht="15.75" hidden="1" customHeight="1" outlineLevel="3" x14ac:dyDescent="0.3">
      <c r="A249" s="169"/>
      <c r="B249" s="169"/>
      <c r="C249" s="169"/>
      <c r="D249" s="169"/>
      <c r="E249" s="169" t="s">
        <v>2591</v>
      </c>
      <c r="F249" s="169" t="s">
        <v>64</v>
      </c>
      <c r="G249" s="169">
        <v>51</v>
      </c>
      <c r="H249" s="169" t="s">
        <v>219</v>
      </c>
      <c r="I249" s="165">
        <f t="shared" si="224"/>
        <v>0</v>
      </c>
      <c r="J249" s="718">
        <f t="shared" si="225"/>
        <v>0</v>
      </c>
      <c r="K249" s="150">
        <f t="shared" si="227"/>
        <v>0</v>
      </c>
      <c r="L249" s="150">
        <f t="shared" si="226"/>
        <v>0</v>
      </c>
      <c r="M249" s="166"/>
      <c r="N249" s="150"/>
      <c r="O249" s="150"/>
      <c r="P249" s="150"/>
      <c r="Q249" s="150"/>
      <c r="R249" s="150"/>
      <c r="S249" s="150"/>
      <c r="T249" s="150"/>
      <c r="U249" s="150"/>
      <c r="V249" s="150"/>
      <c r="W249" s="150"/>
      <c r="X249" s="150"/>
      <c r="Y249" s="150"/>
      <c r="Z249" s="150"/>
      <c r="AA249" s="150"/>
      <c r="AB249" s="150"/>
      <c r="AC249" s="150"/>
      <c r="AD249" s="150"/>
      <c r="AE249" s="150"/>
      <c r="AF249" s="150"/>
      <c r="AG249" s="150"/>
      <c r="AH249" s="150"/>
      <c r="AI249" s="150"/>
      <c r="AJ249" s="150"/>
      <c r="AK249" s="150"/>
      <c r="AL249" s="150"/>
      <c r="AM249" s="150"/>
      <c r="AN249" s="150"/>
      <c r="AO249" s="150"/>
      <c r="AP249" s="150"/>
      <c r="AQ249" s="150"/>
      <c r="AR249" s="150"/>
      <c r="AS249" s="150"/>
      <c r="AT249" s="150"/>
      <c r="AU249" s="150"/>
      <c r="AV249" s="150"/>
      <c r="AW249" s="150"/>
      <c r="AX249" s="150"/>
      <c r="AY249" s="150"/>
      <c r="AZ249" s="150"/>
      <c r="BA249" s="150"/>
      <c r="BB249" s="150"/>
      <c r="BC249" s="170"/>
      <c r="BD249" s="170"/>
      <c r="BE249" s="170"/>
      <c r="BF249" s="170"/>
      <c r="BG249" s="170"/>
      <c r="BH249" s="170"/>
      <c r="BI249" s="170"/>
      <c r="BJ249" s="170"/>
      <c r="BK249" s="167">
        <f t="shared" si="192"/>
        <v>0</v>
      </c>
      <c r="BL249" s="167">
        <f t="shared" si="193"/>
        <v>0</v>
      </c>
      <c r="BM249" s="167">
        <f t="shared" si="194"/>
        <v>0</v>
      </c>
      <c r="BN249" s="167">
        <f t="shared" si="195"/>
        <v>0</v>
      </c>
    </row>
    <row r="250" spans="1:66" s="171" customFormat="1" ht="15.75" hidden="1" customHeight="1" outlineLevel="3" x14ac:dyDescent="0.3">
      <c r="A250" s="169"/>
      <c r="B250" s="169"/>
      <c r="C250" s="169"/>
      <c r="D250" s="169"/>
      <c r="E250" s="169" t="s">
        <v>2591</v>
      </c>
      <c r="F250" s="169" t="s">
        <v>64</v>
      </c>
      <c r="G250" s="169">
        <v>52</v>
      </c>
      <c r="H250" s="169" t="s">
        <v>221</v>
      </c>
      <c r="I250" s="165">
        <f t="shared" si="224"/>
        <v>0</v>
      </c>
      <c r="J250" s="718">
        <f t="shared" si="225"/>
        <v>0</v>
      </c>
      <c r="K250" s="150">
        <f t="shared" si="227"/>
        <v>0</v>
      </c>
      <c r="L250" s="150">
        <f t="shared" si="226"/>
        <v>0</v>
      </c>
      <c r="M250" s="166"/>
      <c r="N250" s="150"/>
      <c r="O250" s="150"/>
      <c r="P250" s="150"/>
      <c r="Q250" s="150"/>
      <c r="R250" s="150"/>
      <c r="S250" s="150"/>
      <c r="T250" s="150"/>
      <c r="U250" s="150"/>
      <c r="V250" s="150"/>
      <c r="W250" s="150"/>
      <c r="X250" s="150"/>
      <c r="Y250" s="150"/>
      <c r="Z250" s="150"/>
      <c r="AA250" s="150"/>
      <c r="AB250" s="150"/>
      <c r="AC250" s="150"/>
      <c r="AD250" s="150"/>
      <c r="AE250" s="150"/>
      <c r="AF250" s="150"/>
      <c r="AG250" s="150"/>
      <c r="AH250" s="150"/>
      <c r="AI250" s="150"/>
      <c r="AJ250" s="150"/>
      <c r="AK250" s="150"/>
      <c r="AL250" s="150"/>
      <c r="AM250" s="150"/>
      <c r="AN250" s="150"/>
      <c r="AO250" s="150"/>
      <c r="AP250" s="150"/>
      <c r="AQ250" s="150"/>
      <c r="AR250" s="150"/>
      <c r="AS250" s="150"/>
      <c r="AT250" s="150"/>
      <c r="AU250" s="150"/>
      <c r="AV250" s="150"/>
      <c r="AW250" s="150"/>
      <c r="AX250" s="150"/>
      <c r="AY250" s="150"/>
      <c r="AZ250" s="150"/>
      <c r="BA250" s="150"/>
      <c r="BB250" s="150"/>
      <c r="BC250" s="170"/>
      <c r="BD250" s="170"/>
      <c r="BE250" s="170"/>
      <c r="BF250" s="170"/>
      <c r="BG250" s="170"/>
      <c r="BH250" s="170"/>
      <c r="BI250" s="170"/>
      <c r="BJ250" s="170"/>
      <c r="BK250" s="167">
        <f t="shared" si="192"/>
        <v>0</v>
      </c>
      <c r="BL250" s="167">
        <f t="shared" si="193"/>
        <v>0</v>
      </c>
      <c r="BM250" s="167">
        <f t="shared" si="194"/>
        <v>0</v>
      </c>
      <c r="BN250" s="167">
        <f t="shared" si="195"/>
        <v>0</v>
      </c>
    </row>
    <row r="251" spans="1:66" s="171" customFormat="1" ht="15.75" hidden="1" customHeight="1" outlineLevel="3" x14ac:dyDescent="0.3">
      <c r="A251" s="169"/>
      <c r="B251" s="169"/>
      <c r="C251" s="169"/>
      <c r="D251" s="169"/>
      <c r="E251" s="169" t="s">
        <v>2591</v>
      </c>
      <c r="F251" s="169" t="s">
        <v>64</v>
      </c>
      <c r="G251" s="169">
        <v>53</v>
      </c>
      <c r="H251" s="169" t="s">
        <v>223</v>
      </c>
      <c r="I251" s="165">
        <f t="shared" si="224"/>
        <v>0</v>
      </c>
      <c r="J251" s="718">
        <f t="shared" si="225"/>
        <v>0</v>
      </c>
      <c r="K251" s="150">
        <f t="shared" si="227"/>
        <v>0</v>
      </c>
      <c r="L251" s="150">
        <f t="shared" si="226"/>
        <v>0</v>
      </c>
      <c r="M251" s="166"/>
      <c r="N251" s="150"/>
      <c r="O251" s="150"/>
      <c r="P251" s="150"/>
      <c r="Q251" s="150"/>
      <c r="R251" s="150"/>
      <c r="S251" s="150"/>
      <c r="T251" s="150"/>
      <c r="U251" s="150"/>
      <c r="V251" s="150"/>
      <c r="W251" s="150"/>
      <c r="X251" s="150"/>
      <c r="Y251" s="150"/>
      <c r="Z251" s="150"/>
      <c r="AA251" s="150"/>
      <c r="AB251" s="150"/>
      <c r="AC251" s="150"/>
      <c r="AD251" s="150"/>
      <c r="AE251" s="150"/>
      <c r="AF251" s="150"/>
      <c r="AG251" s="150"/>
      <c r="AH251" s="150"/>
      <c r="AI251" s="150"/>
      <c r="AJ251" s="150"/>
      <c r="AK251" s="150"/>
      <c r="AL251" s="150"/>
      <c r="AM251" s="150"/>
      <c r="AN251" s="150"/>
      <c r="AO251" s="150"/>
      <c r="AP251" s="150"/>
      <c r="AQ251" s="150"/>
      <c r="AR251" s="150"/>
      <c r="AS251" s="150"/>
      <c r="AT251" s="150"/>
      <c r="AU251" s="150"/>
      <c r="AV251" s="150"/>
      <c r="AW251" s="150"/>
      <c r="AX251" s="150"/>
      <c r="AY251" s="150"/>
      <c r="AZ251" s="150"/>
      <c r="BA251" s="150"/>
      <c r="BB251" s="150"/>
      <c r="BC251" s="170"/>
      <c r="BD251" s="170"/>
      <c r="BE251" s="170"/>
      <c r="BF251" s="170"/>
      <c r="BG251" s="170"/>
      <c r="BH251" s="170"/>
      <c r="BI251" s="170"/>
      <c r="BJ251" s="170"/>
      <c r="BK251" s="167">
        <f t="shared" si="192"/>
        <v>0</v>
      </c>
      <c r="BL251" s="167">
        <f t="shared" si="193"/>
        <v>0</v>
      </c>
      <c r="BM251" s="167">
        <f t="shared" si="194"/>
        <v>0</v>
      </c>
      <c r="BN251" s="167">
        <f t="shared" si="195"/>
        <v>0</v>
      </c>
    </row>
    <row r="252" spans="1:66" s="171" customFormat="1" ht="15.75" hidden="1" customHeight="1" outlineLevel="3" x14ac:dyDescent="0.3">
      <c r="A252" s="169"/>
      <c r="B252" s="169"/>
      <c r="C252" s="169"/>
      <c r="D252" s="169"/>
      <c r="E252" s="169" t="s">
        <v>2591</v>
      </c>
      <c r="F252" s="169" t="s">
        <v>64</v>
      </c>
      <c r="G252" s="169">
        <v>54</v>
      </c>
      <c r="H252" s="169" t="s">
        <v>225</v>
      </c>
      <c r="I252" s="165">
        <f t="shared" si="224"/>
        <v>0</v>
      </c>
      <c r="J252" s="718">
        <f t="shared" si="225"/>
        <v>0</v>
      </c>
      <c r="K252" s="150">
        <f t="shared" si="227"/>
        <v>0</v>
      </c>
      <c r="L252" s="150">
        <f t="shared" si="226"/>
        <v>0</v>
      </c>
      <c r="M252" s="166"/>
      <c r="N252" s="150"/>
      <c r="O252" s="150"/>
      <c r="P252" s="150"/>
      <c r="Q252" s="150"/>
      <c r="R252" s="150"/>
      <c r="S252" s="150"/>
      <c r="T252" s="150"/>
      <c r="U252" s="150"/>
      <c r="V252" s="150"/>
      <c r="W252" s="150"/>
      <c r="X252" s="150"/>
      <c r="Y252" s="150"/>
      <c r="Z252" s="150"/>
      <c r="AA252" s="150"/>
      <c r="AB252" s="150"/>
      <c r="AC252" s="150"/>
      <c r="AD252" s="150"/>
      <c r="AE252" s="150"/>
      <c r="AF252" s="150"/>
      <c r="AG252" s="150"/>
      <c r="AH252" s="150"/>
      <c r="AI252" s="150"/>
      <c r="AJ252" s="150"/>
      <c r="AK252" s="150"/>
      <c r="AL252" s="150"/>
      <c r="AM252" s="150"/>
      <c r="AN252" s="150"/>
      <c r="AO252" s="150"/>
      <c r="AP252" s="150"/>
      <c r="AQ252" s="150"/>
      <c r="AR252" s="150"/>
      <c r="AS252" s="150"/>
      <c r="AT252" s="150"/>
      <c r="AU252" s="150"/>
      <c r="AV252" s="150"/>
      <c r="AW252" s="150"/>
      <c r="AX252" s="150"/>
      <c r="AY252" s="150"/>
      <c r="AZ252" s="150"/>
      <c r="BA252" s="150"/>
      <c r="BB252" s="150"/>
      <c r="BC252" s="170"/>
      <c r="BD252" s="170"/>
      <c r="BE252" s="170"/>
      <c r="BF252" s="170"/>
      <c r="BG252" s="170"/>
      <c r="BH252" s="170"/>
      <c r="BI252" s="170"/>
      <c r="BJ252" s="170"/>
      <c r="BK252" s="167">
        <f t="shared" si="192"/>
        <v>0</v>
      </c>
      <c r="BL252" s="167">
        <f t="shared" si="193"/>
        <v>0</v>
      </c>
      <c r="BM252" s="167">
        <f t="shared" si="194"/>
        <v>0</v>
      </c>
      <c r="BN252" s="167">
        <f t="shared" si="195"/>
        <v>0</v>
      </c>
    </row>
    <row r="253" spans="1:66" s="171" customFormat="1" ht="15.75" hidden="1" customHeight="1" outlineLevel="3" x14ac:dyDescent="0.3">
      <c r="A253" s="169"/>
      <c r="B253" s="169"/>
      <c r="C253" s="169"/>
      <c r="D253" s="169"/>
      <c r="E253" s="169" t="s">
        <v>2591</v>
      </c>
      <c r="F253" s="169" t="s">
        <v>64</v>
      </c>
      <c r="G253" s="169">
        <v>55</v>
      </c>
      <c r="H253" s="169" t="s">
        <v>227</v>
      </c>
      <c r="I253" s="165">
        <f t="shared" si="224"/>
        <v>0</v>
      </c>
      <c r="J253" s="718">
        <f t="shared" si="225"/>
        <v>0</v>
      </c>
      <c r="K253" s="150">
        <f t="shared" si="227"/>
        <v>0</v>
      </c>
      <c r="L253" s="150">
        <f t="shared" si="226"/>
        <v>0</v>
      </c>
      <c r="M253" s="166"/>
      <c r="N253" s="150"/>
      <c r="O253" s="150"/>
      <c r="P253" s="150"/>
      <c r="Q253" s="150"/>
      <c r="R253" s="150"/>
      <c r="S253" s="150"/>
      <c r="T253" s="150"/>
      <c r="U253" s="150"/>
      <c r="V253" s="150"/>
      <c r="W253" s="150"/>
      <c r="X253" s="150"/>
      <c r="Y253" s="150"/>
      <c r="Z253" s="150"/>
      <c r="AA253" s="150"/>
      <c r="AB253" s="150"/>
      <c r="AC253" s="150"/>
      <c r="AD253" s="150"/>
      <c r="AE253" s="150"/>
      <c r="AF253" s="150"/>
      <c r="AG253" s="150"/>
      <c r="AH253" s="150"/>
      <c r="AI253" s="150"/>
      <c r="AJ253" s="150"/>
      <c r="AK253" s="150"/>
      <c r="AL253" s="150"/>
      <c r="AM253" s="150"/>
      <c r="AN253" s="150"/>
      <c r="AO253" s="150"/>
      <c r="AP253" s="150"/>
      <c r="AQ253" s="150"/>
      <c r="AR253" s="150"/>
      <c r="AS253" s="150"/>
      <c r="AT253" s="150"/>
      <c r="AU253" s="150"/>
      <c r="AV253" s="150"/>
      <c r="AW253" s="150"/>
      <c r="AX253" s="150"/>
      <c r="AY253" s="150"/>
      <c r="AZ253" s="150"/>
      <c r="BA253" s="150"/>
      <c r="BB253" s="150"/>
      <c r="BC253" s="170"/>
      <c r="BD253" s="170"/>
      <c r="BE253" s="170"/>
      <c r="BF253" s="170"/>
      <c r="BG253" s="170"/>
      <c r="BH253" s="170"/>
      <c r="BI253" s="170"/>
      <c r="BJ253" s="170"/>
      <c r="BK253" s="167">
        <f t="shared" si="192"/>
        <v>0</v>
      </c>
      <c r="BL253" s="167">
        <f t="shared" si="193"/>
        <v>0</v>
      </c>
      <c r="BM253" s="167">
        <f t="shared" si="194"/>
        <v>0</v>
      </c>
      <c r="BN253" s="167">
        <f t="shared" si="195"/>
        <v>0</v>
      </c>
    </row>
    <row r="254" spans="1:66" s="171" customFormat="1" ht="15.75" hidden="1" customHeight="1" outlineLevel="3" x14ac:dyDescent="0.3">
      <c r="A254" s="169"/>
      <c r="B254" s="169"/>
      <c r="C254" s="169"/>
      <c r="D254" s="169"/>
      <c r="E254" s="169" t="s">
        <v>2591</v>
      </c>
      <c r="F254" s="169" t="s">
        <v>64</v>
      </c>
      <c r="G254" s="169">
        <v>56</v>
      </c>
      <c r="H254" s="169" t="s">
        <v>228</v>
      </c>
      <c r="I254" s="165">
        <f t="shared" si="224"/>
        <v>0</v>
      </c>
      <c r="J254" s="718">
        <f t="shared" si="225"/>
        <v>0</v>
      </c>
      <c r="K254" s="150">
        <f t="shared" si="227"/>
        <v>0</v>
      </c>
      <c r="L254" s="150">
        <f t="shared" si="226"/>
        <v>0</v>
      </c>
      <c r="M254" s="166"/>
      <c r="N254" s="150"/>
      <c r="O254" s="150"/>
      <c r="P254" s="150"/>
      <c r="Q254" s="150"/>
      <c r="R254" s="150"/>
      <c r="S254" s="150"/>
      <c r="T254" s="150"/>
      <c r="U254" s="150"/>
      <c r="V254" s="150"/>
      <c r="W254" s="150"/>
      <c r="X254" s="150"/>
      <c r="Y254" s="150"/>
      <c r="Z254" s="150"/>
      <c r="AA254" s="150"/>
      <c r="AB254" s="150"/>
      <c r="AC254" s="150"/>
      <c r="AD254" s="150"/>
      <c r="AE254" s="150"/>
      <c r="AF254" s="150"/>
      <c r="AG254" s="150"/>
      <c r="AH254" s="150"/>
      <c r="AI254" s="150"/>
      <c r="AJ254" s="150"/>
      <c r="AK254" s="150"/>
      <c r="AL254" s="150"/>
      <c r="AM254" s="150"/>
      <c r="AN254" s="150"/>
      <c r="AO254" s="150"/>
      <c r="AP254" s="150"/>
      <c r="AQ254" s="150"/>
      <c r="AR254" s="150"/>
      <c r="AS254" s="150"/>
      <c r="AT254" s="150"/>
      <c r="AU254" s="150"/>
      <c r="AV254" s="150"/>
      <c r="AW254" s="150"/>
      <c r="AX254" s="150"/>
      <c r="AY254" s="150"/>
      <c r="AZ254" s="150"/>
      <c r="BA254" s="150"/>
      <c r="BB254" s="150"/>
      <c r="BC254" s="170"/>
      <c r="BD254" s="170"/>
      <c r="BE254" s="170"/>
      <c r="BF254" s="170"/>
      <c r="BG254" s="170"/>
      <c r="BH254" s="170"/>
      <c r="BI254" s="170"/>
      <c r="BJ254" s="170"/>
      <c r="BK254" s="167">
        <f t="shared" si="192"/>
        <v>0</v>
      </c>
      <c r="BL254" s="167">
        <f t="shared" si="193"/>
        <v>0</v>
      </c>
      <c r="BM254" s="167">
        <f t="shared" si="194"/>
        <v>0</v>
      </c>
      <c r="BN254" s="167">
        <f t="shared" si="195"/>
        <v>0</v>
      </c>
    </row>
    <row r="255" spans="1:66" s="171" customFormat="1" ht="15.75" hidden="1" customHeight="1" outlineLevel="3" x14ac:dyDescent="0.3">
      <c r="A255" s="169"/>
      <c r="B255" s="169"/>
      <c r="C255" s="169"/>
      <c r="D255" s="169"/>
      <c r="E255" s="169" t="s">
        <v>2591</v>
      </c>
      <c r="F255" s="169" t="s">
        <v>64</v>
      </c>
      <c r="G255" s="169">
        <v>57</v>
      </c>
      <c r="H255" s="169" t="s">
        <v>230</v>
      </c>
      <c r="I255" s="165">
        <f t="shared" si="224"/>
        <v>0</v>
      </c>
      <c r="J255" s="718">
        <f t="shared" si="225"/>
        <v>0</v>
      </c>
      <c r="K255" s="150">
        <f t="shared" si="227"/>
        <v>0</v>
      </c>
      <c r="L255" s="150">
        <f t="shared" si="226"/>
        <v>0</v>
      </c>
      <c r="M255" s="166"/>
      <c r="N255" s="150"/>
      <c r="O255" s="150"/>
      <c r="P255" s="150"/>
      <c r="Q255" s="150"/>
      <c r="R255" s="150"/>
      <c r="S255" s="150"/>
      <c r="T255" s="150"/>
      <c r="U255" s="150"/>
      <c r="V255" s="150"/>
      <c r="W255" s="150"/>
      <c r="X255" s="150"/>
      <c r="Y255" s="150"/>
      <c r="Z255" s="150"/>
      <c r="AA255" s="150"/>
      <c r="AB255" s="150"/>
      <c r="AC255" s="150"/>
      <c r="AD255" s="150"/>
      <c r="AE255" s="150"/>
      <c r="AF255" s="150"/>
      <c r="AG255" s="150"/>
      <c r="AH255" s="150"/>
      <c r="AI255" s="150"/>
      <c r="AJ255" s="150"/>
      <c r="AK255" s="150"/>
      <c r="AL255" s="150"/>
      <c r="AM255" s="150"/>
      <c r="AN255" s="150"/>
      <c r="AO255" s="150"/>
      <c r="AP255" s="150"/>
      <c r="AQ255" s="150"/>
      <c r="AR255" s="150"/>
      <c r="AS255" s="150"/>
      <c r="AT255" s="150"/>
      <c r="AU255" s="150"/>
      <c r="AV255" s="150"/>
      <c r="AW255" s="150"/>
      <c r="AX255" s="150"/>
      <c r="AY255" s="150"/>
      <c r="AZ255" s="150"/>
      <c r="BA255" s="150"/>
      <c r="BB255" s="150"/>
      <c r="BC255" s="170"/>
      <c r="BD255" s="170"/>
      <c r="BE255" s="170"/>
      <c r="BF255" s="170"/>
      <c r="BG255" s="170"/>
      <c r="BH255" s="170"/>
      <c r="BI255" s="170"/>
      <c r="BJ255" s="170"/>
      <c r="BK255" s="167">
        <f t="shared" si="192"/>
        <v>0</v>
      </c>
      <c r="BL255" s="167">
        <f t="shared" si="193"/>
        <v>0</v>
      </c>
      <c r="BM255" s="167">
        <f t="shared" si="194"/>
        <v>0</v>
      </c>
      <c r="BN255" s="167">
        <f t="shared" si="195"/>
        <v>0</v>
      </c>
    </row>
    <row r="256" spans="1:66" s="171" customFormat="1" ht="15.75" hidden="1" customHeight="1" outlineLevel="3" x14ac:dyDescent="0.3">
      <c r="A256" s="169"/>
      <c r="B256" s="169"/>
      <c r="C256" s="169"/>
      <c r="D256" s="169"/>
      <c r="E256" s="169" t="s">
        <v>2591</v>
      </c>
      <c r="F256" s="169" t="s">
        <v>64</v>
      </c>
      <c r="G256" s="169">
        <v>58</v>
      </c>
      <c r="H256" s="169" t="s">
        <v>232</v>
      </c>
      <c r="I256" s="165">
        <f t="shared" si="224"/>
        <v>0</v>
      </c>
      <c r="J256" s="718">
        <f t="shared" si="225"/>
        <v>0</v>
      </c>
      <c r="K256" s="150">
        <f t="shared" si="227"/>
        <v>0</v>
      </c>
      <c r="L256" s="150">
        <f t="shared" si="226"/>
        <v>0</v>
      </c>
      <c r="M256" s="166"/>
      <c r="N256" s="150"/>
      <c r="O256" s="150"/>
      <c r="P256" s="150"/>
      <c r="Q256" s="150"/>
      <c r="R256" s="150"/>
      <c r="S256" s="150"/>
      <c r="T256" s="150"/>
      <c r="U256" s="150"/>
      <c r="V256" s="150"/>
      <c r="W256" s="150"/>
      <c r="X256" s="150"/>
      <c r="Y256" s="150"/>
      <c r="Z256" s="150"/>
      <c r="AA256" s="150"/>
      <c r="AB256" s="150"/>
      <c r="AC256" s="150"/>
      <c r="AD256" s="150"/>
      <c r="AE256" s="150"/>
      <c r="AF256" s="150"/>
      <c r="AG256" s="150"/>
      <c r="AH256" s="150"/>
      <c r="AI256" s="150"/>
      <c r="AJ256" s="150"/>
      <c r="AK256" s="150"/>
      <c r="AL256" s="150"/>
      <c r="AM256" s="150"/>
      <c r="AN256" s="150"/>
      <c r="AO256" s="150"/>
      <c r="AP256" s="150"/>
      <c r="AQ256" s="150"/>
      <c r="AR256" s="150"/>
      <c r="AS256" s="150"/>
      <c r="AT256" s="150"/>
      <c r="AU256" s="150"/>
      <c r="AV256" s="150"/>
      <c r="AW256" s="150"/>
      <c r="AX256" s="150"/>
      <c r="AY256" s="150"/>
      <c r="AZ256" s="150"/>
      <c r="BA256" s="150"/>
      <c r="BB256" s="150"/>
      <c r="BC256" s="170"/>
      <c r="BD256" s="170"/>
      <c r="BE256" s="170"/>
      <c r="BF256" s="170"/>
      <c r="BG256" s="170"/>
      <c r="BH256" s="170"/>
      <c r="BI256" s="170"/>
      <c r="BJ256" s="170"/>
      <c r="BK256" s="167">
        <f t="shared" si="192"/>
        <v>0</v>
      </c>
      <c r="BL256" s="167">
        <f t="shared" si="193"/>
        <v>0</v>
      </c>
      <c r="BM256" s="167">
        <f t="shared" si="194"/>
        <v>0</v>
      </c>
      <c r="BN256" s="167">
        <f t="shared" si="195"/>
        <v>0</v>
      </c>
    </row>
    <row r="257" spans="1:66" s="171" customFormat="1" ht="15.75" hidden="1" customHeight="1" outlineLevel="3" x14ac:dyDescent="0.3">
      <c r="A257" s="169"/>
      <c r="B257" s="169"/>
      <c r="C257" s="169"/>
      <c r="D257" s="169"/>
      <c r="E257" s="169" t="s">
        <v>2591</v>
      </c>
      <c r="F257" s="169" t="s">
        <v>64</v>
      </c>
      <c r="G257" s="169">
        <v>59</v>
      </c>
      <c r="H257" s="169" t="s">
        <v>234</v>
      </c>
      <c r="I257" s="165">
        <f t="shared" si="224"/>
        <v>0</v>
      </c>
      <c r="J257" s="718">
        <f t="shared" si="225"/>
        <v>0</v>
      </c>
      <c r="K257" s="150">
        <f t="shared" si="227"/>
        <v>0</v>
      </c>
      <c r="L257" s="150">
        <f t="shared" si="226"/>
        <v>0</v>
      </c>
      <c r="M257" s="166"/>
      <c r="N257" s="150"/>
      <c r="O257" s="150"/>
      <c r="P257" s="150"/>
      <c r="Q257" s="150"/>
      <c r="R257" s="150"/>
      <c r="S257" s="150"/>
      <c r="T257" s="150"/>
      <c r="U257" s="150"/>
      <c r="V257" s="150"/>
      <c r="W257" s="150"/>
      <c r="X257" s="150"/>
      <c r="Y257" s="150"/>
      <c r="Z257" s="150"/>
      <c r="AA257" s="150"/>
      <c r="AB257" s="150"/>
      <c r="AC257" s="150"/>
      <c r="AD257" s="150"/>
      <c r="AE257" s="150"/>
      <c r="AF257" s="150"/>
      <c r="AG257" s="150"/>
      <c r="AH257" s="150"/>
      <c r="AI257" s="150"/>
      <c r="AJ257" s="150"/>
      <c r="AK257" s="150"/>
      <c r="AL257" s="150"/>
      <c r="AM257" s="150"/>
      <c r="AN257" s="150"/>
      <c r="AO257" s="150"/>
      <c r="AP257" s="150"/>
      <c r="AQ257" s="150"/>
      <c r="AR257" s="150"/>
      <c r="AS257" s="150"/>
      <c r="AT257" s="150"/>
      <c r="AU257" s="150"/>
      <c r="AV257" s="150"/>
      <c r="AW257" s="150"/>
      <c r="AX257" s="150"/>
      <c r="AY257" s="150"/>
      <c r="AZ257" s="150"/>
      <c r="BA257" s="150"/>
      <c r="BB257" s="150"/>
      <c r="BC257" s="170"/>
      <c r="BD257" s="170"/>
      <c r="BE257" s="170"/>
      <c r="BF257" s="170"/>
      <c r="BG257" s="170"/>
      <c r="BH257" s="170"/>
      <c r="BI257" s="170"/>
      <c r="BJ257" s="170"/>
      <c r="BK257" s="167">
        <f t="shared" si="192"/>
        <v>0</v>
      </c>
      <c r="BL257" s="167">
        <f t="shared" si="193"/>
        <v>0</v>
      </c>
      <c r="BM257" s="167">
        <f t="shared" si="194"/>
        <v>0</v>
      </c>
      <c r="BN257" s="167">
        <f t="shared" si="195"/>
        <v>0</v>
      </c>
    </row>
    <row r="258" spans="1:66" s="171" customFormat="1" ht="15.75" hidden="1" customHeight="1" outlineLevel="3" x14ac:dyDescent="0.3">
      <c r="A258" s="169"/>
      <c r="B258" s="169"/>
      <c r="C258" s="169"/>
      <c r="D258" s="169"/>
      <c r="E258" s="169" t="s">
        <v>2591</v>
      </c>
      <c r="F258" s="169" t="s">
        <v>64</v>
      </c>
      <c r="G258" s="169">
        <v>60</v>
      </c>
      <c r="H258" s="169" t="s">
        <v>3571</v>
      </c>
      <c r="I258" s="165">
        <f t="shared" si="224"/>
        <v>68429895.224070817</v>
      </c>
      <c r="J258" s="718">
        <f t="shared" si="225"/>
        <v>68429895.224070817</v>
      </c>
      <c r="K258" s="150">
        <f t="shared" si="227"/>
        <v>0</v>
      </c>
      <c r="L258" s="150">
        <f t="shared" si="226"/>
        <v>68429895.224070817</v>
      </c>
      <c r="M258" s="166"/>
      <c r="N258" s="150">
        <f t="shared" ref="N258:AF258" si="228">SUM(N212:N234,N237:N244,N247:N253)*0.13+N245*0.9*0.13-N261-N262</f>
        <v>9859903.040000001</v>
      </c>
      <c r="O258" s="150">
        <f t="shared" si="228"/>
        <v>8141732.7118584076</v>
      </c>
      <c r="P258" s="150">
        <f t="shared" si="228"/>
        <v>1333151.9235398232</v>
      </c>
      <c r="Q258" s="150">
        <f t="shared" si="228"/>
        <v>7079002.2371681426</v>
      </c>
      <c r="R258" s="150">
        <f t="shared" si="228"/>
        <v>2739530.3161061946</v>
      </c>
      <c r="S258" s="150">
        <f t="shared" si="228"/>
        <v>5060346.1953982301</v>
      </c>
      <c r="T258" s="150">
        <f t="shared" si="228"/>
        <v>1914988.9924778761</v>
      </c>
      <c r="U258" s="150">
        <f t="shared" si="228"/>
        <v>4255906.9800000004</v>
      </c>
      <c r="V258" s="150">
        <f t="shared" si="228"/>
        <v>5615688.101238938</v>
      </c>
      <c r="W258" s="150">
        <f t="shared" si="228"/>
        <v>3597514.44</v>
      </c>
      <c r="X258" s="150">
        <f t="shared" si="228"/>
        <v>1631804.72</v>
      </c>
      <c r="Y258" s="150">
        <f t="shared" si="228"/>
        <v>5678452.5200000005</v>
      </c>
      <c r="Z258" s="150">
        <f t="shared" si="228"/>
        <v>3312143.4283185839</v>
      </c>
      <c r="AA258" s="150">
        <f t="shared" si="228"/>
        <v>5599292.1779646026</v>
      </c>
      <c r="AB258" s="150">
        <f t="shared" si="228"/>
        <v>0</v>
      </c>
      <c r="AC258" s="150">
        <f t="shared" si="228"/>
        <v>0</v>
      </c>
      <c r="AD258" s="150">
        <f t="shared" si="228"/>
        <v>0</v>
      </c>
      <c r="AE258" s="150">
        <f t="shared" si="228"/>
        <v>0</v>
      </c>
      <c r="AF258" s="150">
        <f t="shared" si="228"/>
        <v>0</v>
      </c>
      <c r="AG258" s="150">
        <f>SUM(AG212:AG234,AG237:AG244,AG247:AG253)*0.13+AG245*0.9*0.13-AG261-AG262</f>
        <v>2610437.44</v>
      </c>
      <c r="AH258" s="150">
        <f t="shared" ref="AH258:AQ258" si="229">SUM(AH212:AH234,AH237:AH244,AH247:AH253)*0.13+AH245*0.9*0.13-AH261-AH262</f>
        <v>0</v>
      </c>
      <c r="AI258" s="150">
        <f t="shared" si="229"/>
        <v>0</v>
      </c>
      <c r="AJ258" s="150">
        <f t="shared" si="229"/>
        <v>0</v>
      </c>
      <c r="AK258" s="150">
        <f t="shared" si="229"/>
        <v>0</v>
      </c>
      <c r="AL258" s="150">
        <f t="shared" si="229"/>
        <v>0</v>
      </c>
      <c r="AM258" s="150"/>
      <c r="AN258" s="150"/>
      <c r="AO258" s="150"/>
      <c r="AP258" s="150">
        <f t="shared" si="229"/>
        <v>0</v>
      </c>
      <c r="AQ258" s="150">
        <f t="shared" si="229"/>
        <v>0</v>
      </c>
      <c r="AR258" s="150"/>
      <c r="AS258" s="150"/>
      <c r="AT258" s="150"/>
      <c r="AU258" s="150"/>
      <c r="AV258" s="150"/>
      <c r="AW258" s="150"/>
      <c r="AX258" s="150"/>
      <c r="AY258" s="150"/>
      <c r="AZ258" s="150"/>
      <c r="BA258" s="150"/>
      <c r="BB258" s="150"/>
      <c r="BC258" s="170"/>
      <c r="BD258" s="170"/>
      <c r="BE258" s="170"/>
      <c r="BF258" s="170"/>
      <c r="BG258" s="170"/>
      <c r="BH258" s="170"/>
      <c r="BI258" s="170"/>
      <c r="BJ258" s="170"/>
      <c r="BK258" s="167">
        <f t="shared" si="192"/>
        <v>65819457.784070812</v>
      </c>
      <c r="BL258" s="167">
        <f t="shared" si="193"/>
        <v>0</v>
      </c>
      <c r="BM258" s="167">
        <f t="shared" si="194"/>
        <v>2610437.44</v>
      </c>
      <c r="BN258" s="167">
        <f t="shared" si="195"/>
        <v>0</v>
      </c>
    </row>
    <row r="259" spans="1:66" s="171" customFormat="1" ht="15.75" hidden="1" customHeight="1" outlineLevel="3" x14ac:dyDescent="0.3">
      <c r="A259" s="169"/>
      <c r="B259" s="169"/>
      <c r="C259" s="169"/>
      <c r="D259" s="169"/>
      <c r="E259" s="169" t="s">
        <v>2591</v>
      </c>
      <c r="F259" s="169" t="s">
        <v>64</v>
      </c>
      <c r="G259" s="169">
        <v>61</v>
      </c>
      <c r="H259" s="169" t="s">
        <v>3572</v>
      </c>
      <c r="I259" s="165">
        <f t="shared" si="224"/>
        <v>0</v>
      </c>
      <c r="J259" s="718">
        <f t="shared" si="225"/>
        <v>0</v>
      </c>
      <c r="K259" s="150">
        <f t="shared" si="227"/>
        <v>0</v>
      </c>
      <c r="L259" s="150">
        <f t="shared" ref="L259:L290" si="230">SUM(N259:BJ259)</f>
        <v>0</v>
      </c>
      <c r="M259" s="166"/>
      <c r="N259" s="150"/>
      <c r="O259" s="150"/>
      <c r="P259" s="150"/>
      <c r="Q259" s="150"/>
      <c r="R259" s="150"/>
      <c r="S259" s="150"/>
      <c r="T259" s="150"/>
      <c r="U259" s="150"/>
      <c r="V259" s="150"/>
      <c r="W259" s="150"/>
      <c r="X259" s="150"/>
      <c r="Y259" s="150"/>
      <c r="Z259" s="150"/>
      <c r="AA259" s="150"/>
      <c r="AB259" s="150"/>
      <c r="AC259" s="150"/>
      <c r="AD259" s="150"/>
      <c r="AE259" s="150"/>
      <c r="AF259" s="150"/>
      <c r="AG259" s="150"/>
      <c r="AH259" s="150"/>
      <c r="AI259" s="150"/>
      <c r="AJ259" s="150"/>
      <c r="AK259" s="150"/>
      <c r="AL259" s="150"/>
      <c r="AM259" s="150"/>
      <c r="AN259" s="150"/>
      <c r="AO259" s="150"/>
      <c r="AP259" s="150"/>
      <c r="AQ259" s="150"/>
      <c r="AR259" s="150"/>
      <c r="AS259" s="150"/>
      <c r="AT259" s="150"/>
      <c r="AU259" s="150"/>
      <c r="AV259" s="150"/>
      <c r="AW259" s="150"/>
      <c r="AX259" s="150"/>
      <c r="AY259" s="150"/>
      <c r="AZ259" s="150"/>
      <c r="BA259" s="150"/>
      <c r="BB259" s="150"/>
      <c r="BC259" s="170"/>
      <c r="BD259" s="170"/>
      <c r="BE259" s="170"/>
      <c r="BF259" s="170"/>
      <c r="BG259" s="170"/>
      <c r="BH259" s="170"/>
      <c r="BI259" s="170"/>
      <c r="BJ259" s="170"/>
      <c r="BK259" s="167">
        <f t="shared" ref="BK259:BK322" si="231">+SUM(N259:AA259)</f>
        <v>0</v>
      </c>
      <c r="BL259" s="167">
        <f t="shared" ref="BL259:BL322" si="232">+AB259</f>
        <v>0</v>
      </c>
      <c r="BM259" s="167">
        <f t="shared" ref="BM259:BM322" si="233">+SUM(AC259:AO259)</f>
        <v>0</v>
      </c>
      <c r="BN259" s="167">
        <f t="shared" ref="BN259:BN322" si="234">+SUM(AP259:BJ259)</f>
        <v>0</v>
      </c>
    </row>
    <row r="260" spans="1:66" s="171" customFormat="1" ht="15.75" hidden="1" customHeight="1" outlineLevel="3" x14ac:dyDescent="0.3">
      <c r="A260" s="169"/>
      <c r="B260" s="169"/>
      <c r="C260" s="169"/>
      <c r="D260" s="169"/>
      <c r="E260" s="169" t="s">
        <v>2591</v>
      </c>
      <c r="F260" s="169" t="s">
        <v>64</v>
      </c>
      <c r="G260" s="169">
        <v>62</v>
      </c>
      <c r="H260" s="169" t="s">
        <v>3573</v>
      </c>
      <c r="I260" s="165">
        <f t="shared" si="224"/>
        <v>0</v>
      </c>
      <c r="J260" s="718">
        <f t="shared" si="225"/>
        <v>0</v>
      </c>
      <c r="K260" s="150">
        <f t="shared" si="227"/>
        <v>0</v>
      </c>
      <c r="L260" s="150">
        <f t="shared" si="230"/>
        <v>0</v>
      </c>
      <c r="M260" s="166"/>
      <c r="N260" s="150"/>
      <c r="O260" s="150"/>
      <c r="P260" s="150"/>
      <c r="Q260" s="150"/>
      <c r="R260" s="150"/>
      <c r="S260" s="150"/>
      <c r="T260" s="150"/>
      <c r="U260" s="150"/>
      <c r="V260" s="150"/>
      <c r="W260" s="150"/>
      <c r="X260" s="150"/>
      <c r="Y260" s="150"/>
      <c r="Z260" s="150"/>
      <c r="AA260" s="150"/>
      <c r="AB260" s="150"/>
      <c r="AC260" s="150"/>
      <c r="AD260" s="150"/>
      <c r="AE260" s="150"/>
      <c r="AF260" s="150"/>
      <c r="AG260" s="150"/>
      <c r="AH260" s="150"/>
      <c r="AI260" s="150"/>
      <c r="AJ260" s="150"/>
      <c r="AK260" s="150"/>
      <c r="AL260" s="150"/>
      <c r="AM260" s="150"/>
      <c r="AN260" s="150"/>
      <c r="AO260" s="150"/>
      <c r="AP260" s="150"/>
      <c r="AQ260" s="150"/>
      <c r="AR260" s="150"/>
      <c r="AS260" s="150"/>
      <c r="AT260" s="150"/>
      <c r="AU260" s="150"/>
      <c r="AV260" s="150"/>
      <c r="AW260" s="150"/>
      <c r="AX260" s="150"/>
      <c r="AY260" s="150"/>
      <c r="AZ260" s="150"/>
      <c r="BA260" s="150"/>
      <c r="BB260" s="150"/>
      <c r="BC260" s="170"/>
      <c r="BD260" s="170"/>
      <c r="BE260" s="170"/>
      <c r="BF260" s="170"/>
      <c r="BG260" s="170"/>
      <c r="BH260" s="170"/>
      <c r="BI260" s="170"/>
      <c r="BJ260" s="170"/>
      <c r="BK260" s="167">
        <f t="shared" si="231"/>
        <v>0</v>
      </c>
      <c r="BL260" s="167">
        <f t="shared" si="232"/>
        <v>0</v>
      </c>
      <c r="BM260" s="167">
        <f t="shared" si="233"/>
        <v>0</v>
      </c>
      <c r="BN260" s="167">
        <f t="shared" si="234"/>
        <v>0</v>
      </c>
    </row>
    <row r="261" spans="1:66" s="171" customFormat="1" ht="15.75" hidden="1" customHeight="1" outlineLevel="3" x14ac:dyDescent="0.3">
      <c r="A261" s="169"/>
      <c r="B261" s="169"/>
      <c r="C261" s="169"/>
      <c r="D261" s="169"/>
      <c r="E261" s="169" t="s">
        <v>2591</v>
      </c>
      <c r="F261" s="169" t="s">
        <v>64</v>
      </c>
      <c r="G261" s="169">
        <v>63</v>
      </c>
      <c r="H261" s="169" t="s">
        <v>3257</v>
      </c>
      <c r="I261" s="165">
        <f t="shared" si="224"/>
        <v>0</v>
      </c>
      <c r="J261" s="718">
        <f t="shared" si="225"/>
        <v>0</v>
      </c>
      <c r="K261" s="150">
        <f t="shared" si="227"/>
        <v>0</v>
      </c>
      <c r="L261" s="150">
        <f t="shared" si="230"/>
        <v>0</v>
      </c>
      <c r="M261" s="166"/>
      <c r="N261" s="150">
        <f>+N254*1.4986*0.13</f>
        <v>0</v>
      </c>
      <c r="O261" s="150">
        <f>+O254*1.4986*0.13</f>
        <v>0</v>
      </c>
      <c r="P261" s="150">
        <f t="shared" ref="P261:Z261" si="235">+P254*1.4986*0.13</f>
        <v>0</v>
      </c>
      <c r="Q261" s="150">
        <f t="shared" si="235"/>
        <v>0</v>
      </c>
      <c r="R261" s="150">
        <f t="shared" si="235"/>
        <v>0</v>
      </c>
      <c r="S261" s="150">
        <f t="shared" si="235"/>
        <v>0</v>
      </c>
      <c r="T261" s="150">
        <f t="shared" si="235"/>
        <v>0</v>
      </c>
      <c r="U261" s="150">
        <f t="shared" si="235"/>
        <v>0</v>
      </c>
      <c r="V261" s="150">
        <f t="shared" si="235"/>
        <v>0</v>
      </c>
      <c r="W261" s="150">
        <f t="shared" si="235"/>
        <v>0</v>
      </c>
      <c r="X261" s="150">
        <f t="shared" si="235"/>
        <v>0</v>
      </c>
      <c r="Y261" s="150">
        <f t="shared" si="235"/>
        <v>0</v>
      </c>
      <c r="Z261" s="150">
        <f t="shared" si="235"/>
        <v>0</v>
      </c>
      <c r="AA261" s="150">
        <f t="shared" ref="AA261:AL261" si="236">+AA254*1.4986*0.13</f>
        <v>0</v>
      </c>
      <c r="AB261" s="150">
        <f t="shared" si="236"/>
        <v>0</v>
      </c>
      <c r="AC261" s="150">
        <f t="shared" si="236"/>
        <v>0</v>
      </c>
      <c r="AD261" s="150">
        <f t="shared" si="236"/>
        <v>0</v>
      </c>
      <c r="AE261" s="150">
        <f t="shared" si="236"/>
        <v>0</v>
      </c>
      <c r="AF261" s="150">
        <f t="shared" ref="AF261" si="237">+AF254*1.4986*0.13</f>
        <v>0</v>
      </c>
      <c r="AG261" s="150">
        <f t="shared" ref="AG261" si="238">+AG254*1.4986*0.13</f>
        <v>0</v>
      </c>
      <c r="AH261" s="150">
        <f t="shared" si="236"/>
        <v>0</v>
      </c>
      <c r="AI261" s="150">
        <f t="shared" si="236"/>
        <v>0</v>
      </c>
      <c r="AJ261" s="150">
        <f t="shared" si="236"/>
        <v>0</v>
      </c>
      <c r="AK261" s="150">
        <f t="shared" si="236"/>
        <v>0</v>
      </c>
      <c r="AL261" s="150">
        <f t="shared" si="236"/>
        <v>0</v>
      </c>
      <c r="AM261" s="150"/>
      <c r="AN261" s="150"/>
      <c r="AO261" s="150"/>
      <c r="AP261" s="150"/>
      <c r="AQ261" s="150"/>
      <c r="AR261" s="150"/>
      <c r="AS261" s="150"/>
      <c r="AT261" s="150"/>
      <c r="AU261" s="150"/>
      <c r="AV261" s="150"/>
      <c r="AW261" s="150"/>
      <c r="AX261" s="150"/>
      <c r="AY261" s="150"/>
      <c r="AZ261" s="150"/>
      <c r="BA261" s="150"/>
      <c r="BB261" s="150"/>
      <c r="BC261" s="170"/>
      <c r="BD261" s="170"/>
      <c r="BE261" s="170"/>
      <c r="BF261" s="170"/>
      <c r="BG261" s="170"/>
      <c r="BH261" s="170"/>
      <c r="BI261" s="170"/>
      <c r="BJ261" s="170"/>
      <c r="BK261" s="167">
        <f t="shared" si="231"/>
        <v>0</v>
      </c>
      <c r="BL261" s="167">
        <f t="shared" si="232"/>
        <v>0</v>
      </c>
      <c r="BM261" s="167">
        <f t="shared" si="233"/>
        <v>0</v>
      </c>
      <c r="BN261" s="167">
        <f t="shared" si="234"/>
        <v>0</v>
      </c>
    </row>
    <row r="262" spans="1:66" s="171" customFormat="1" ht="15.75" hidden="1" customHeight="1" outlineLevel="3" x14ac:dyDescent="0.3">
      <c r="A262" s="169"/>
      <c r="B262" s="169"/>
      <c r="C262" s="169"/>
      <c r="D262" s="169"/>
      <c r="E262" s="169" t="s">
        <v>2591</v>
      </c>
      <c r="F262" s="169" t="s">
        <v>64</v>
      </c>
      <c r="G262" s="169">
        <v>64</v>
      </c>
      <c r="H262" s="169" t="s">
        <v>243</v>
      </c>
      <c r="I262" s="165">
        <f t="shared" si="224"/>
        <v>0</v>
      </c>
      <c r="J262" s="718">
        <f t="shared" si="225"/>
        <v>0</v>
      </c>
      <c r="K262" s="150">
        <f t="shared" si="227"/>
        <v>0</v>
      </c>
      <c r="L262" s="150">
        <f t="shared" si="230"/>
        <v>0</v>
      </c>
      <c r="M262" s="166"/>
      <c r="N262" s="150">
        <f>+N254*1.4986*0.13</f>
        <v>0</v>
      </c>
      <c r="O262" s="150">
        <f>+O254*1.4986*0.13</f>
        <v>0</v>
      </c>
      <c r="P262" s="150">
        <f t="shared" ref="P262:Z262" si="239">+P254*1.4986*0.13</f>
        <v>0</v>
      </c>
      <c r="Q262" s="150">
        <f t="shared" si="239"/>
        <v>0</v>
      </c>
      <c r="R262" s="150">
        <f t="shared" si="239"/>
        <v>0</v>
      </c>
      <c r="S262" s="150">
        <f t="shared" si="239"/>
        <v>0</v>
      </c>
      <c r="T262" s="150">
        <f t="shared" si="239"/>
        <v>0</v>
      </c>
      <c r="U262" s="150">
        <f t="shared" si="239"/>
        <v>0</v>
      </c>
      <c r="V262" s="150">
        <f t="shared" si="239"/>
        <v>0</v>
      </c>
      <c r="W262" s="150">
        <f t="shared" si="239"/>
        <v>0</v>
      </c>
      <c r="X262" s="150">
        <f t="shared" si="239"/>
        <v>0</v>
      </c>
      <c r="Y262" s="150">
        <f t="shared" si="239"/>
        <v>0</v>
      </c>
      <c r="Z262" s="150">
        <f t="shared" si="239"/>
        <v>0</v>
      </c>
      <c r="AA262" s="150">
        <f t="shared" ref="AA262:AL262" si="240">+AA254*1.4986*0.13</f>
        <v>0</v>
      </c>
      <c r="AB262" s="150">
        <f t="shared" si="240"/>
        <v>0</v>
      </c>
      <c r="AC262" s="150">
        <f t="shared" si="240"/>
        <v>0</v>
      </c>
      <c r="AD262" s="150">
        <f t="shared" si="240"/>
        <v>0</v>
      </c>
      <c r="AE262" s="150">
        <f t="shared" si="240"/>
        <v>0</v>
      </c>
      <c r="AF262" s="150">
        <f t="shared" ref="AF262" si="241">+AF254*1.4986*0.13</f>
        <v>0</v>
      </c>
      <c r="AG262" s="150">
        <f t="shared" ref="AG262" si="242">+AG254*1.4986*0.13</f>
        <v>0</v>
      </c>
      <c r="AH262" s="150">
        <f t="shared" si="240"/>
        <v>0</v>
      </c>
      <c r="AI262" s="150">
        <f t="shared" si="240"/>
        <v>0</v>
      </c>
      <c r="AJ262" s="150">
        <f t="shared" si="240"/>
        <v>0</v>
      </c>
      <c r="AK262" s="150">
        <f t="shared" si="240"/>
        <v>0</v>
      </c>
      <c r="AL262" s="150">
        <f t="shared" si="240"/>
        <v>0</v>
      </c>
      <c r="AM262" s="150"/>
      <c r="AN262" s="150"/>
      <c r="AO262" s="150"/>
      <c r="AP262" s="150"/>
      <c r="AQ262" s="150"/>
      <c r="AR262" s="150"/>
      <c r="AS262" s="150"/>
      <c r="AT262" s="150"/>
      <c r="AU262" s="150"/>
      <c r="AV262" s="150"/>
      <c r="AW262" s="150"/>
      <c r="AX262" s="150"/>
      <c r="AY262" s="150"/>
      <c r="AZ262" s="150"/>
      <c r="BA262" s="150"/>
      <c r="BB262" s="150"/>
      <c r="BC262" s="170"/>
      <c r="BD262" s="170"/>
      <c r="BE262" s="170"/>
      <c r="BF262" s="170"/>
      <c r="BG262" s="170"/>
      <c r="BH262" s="170"/>
      <c r="BI262" s="170"/>
      <c r="BJ262" s="170"/>
      <c r="BK262" s="167">
        <f t="shared" si="231"/>
        <v>0</v>
      </c>
      <c r="BL262" s="167">
        <f t="shared" si="232"/>
        <v>0</v>
      </c>
      <c r="BM262" s="167">
        <f t="shared" si="233"/>
        <v>0</v>
      </c>
      <c r="BN262" s="167">
        <f t="shared" si="234"/>
        <v>0</v>
      </c>
    </row>
    <row r="263" spans="1:66" s="171" customFormat="1" ht="15.75" hidden="1" customHeight="1" outlineLevel="3" x14ac:dyDescent="0.3">
      <c r="A263" s="169"/>
      <c r="B263" s="169"/>
      <c r="C263" s="169"/>
      <c r="D263" s="169"/>
      <c r="E263" s="169" t="s">
        <v>2591</v>
      </c>
      <c r="F263" s="169" t="s">
        <v>64</v>
      </c>
      <c r="G263" s="169">
        <v>65</v>
      </c>
      <c r="H263" s="169" t="s">
        <v>245</v>
      </c>
      <c r="I263" s="165">
        <f t="shared" si="224"/>
        <v>10157400</v>
      </c>
      <c r="J263" s="718">
        <f t="shared" si="225"/>
        <v>10157400</v>
      </c>
      <c r="K263" s="150">
        <f t="shared" si="227"/>
        <v>0</v>
      </c>
      <c r="L263" s="150">
        <f t="shared" si="230"/>
        <v>10157400</v>
      </c>
      <c r="M263" s="166"/>
      <c r="N263" s="150">
        <v>1641600</v>
      </c>
      <c r="O263" s="150">
        <v>923400</v>
      </c>
      <c r="P263" s="150">
        <v>205200</v>
      </c>
      <c r="Q263" s="150">
        <v>1026000</v>
      </c>
      <c r="R263" s="150">
        <v>410400</v>
      </c>
      <c r="S263" s="150">
        <v>615600</v>
      </c>
      <c r="T263" s="150">
        <v>410400</v>
      </c>
      <c r="U263" s="150">
        <v>615600</v>
      </c>
      <c r="V263" s="150">
        <v>820800</v>
      </c>
      <c r="W263" s="150">
        <v>615600</v>
      </c>
      <c r="X263" s="150">
        <v>205200</v>
      </c>
      <c r="Y263" s="150">
        <v>718200</v>
      </c>
      <c r="Z263" s="150">
        <v>513000</v>
      </c>
      <c r="AA263" s="150">
        <v>1026000</v>
      </c>
      <c r="AB263" s="150">
        <f>SUMIF('6. melléklet'!$A:$A,AB$2,'6. melléklet'!$R:$R)</f>
        <v>0</v>
      </c>
      <c r="AC263" s="150"/>
      <c r="AD263" s="150"/>
      <c r="AE263" s="150"/>
      <c r="AF263" s="150"/>
      <c r="AG263" s="150">
        <v>410400</v>
      </c>
      <c r="AH263" s="150"/>
      <c r="AI263" s="150"/>
      <c r="AJ263" s="150"/>
      <c r="AK263" s="150"/>
      <c r="AL263" s="150"/>
      <c r="AM263" s="150"/>
      <c r="AN263" s="150"/>
      <c r="AO263" s="150"/>
      <c r="AP263" s="150"/>
      <c r="AQ263" s="150"/>
      <c r="AR263" s="150"/>
      <c r="AS263" s="150"/>
      <c r="AT263" s="150"/>
      <c r="AU263" s="150"/>
      <c r="AV263" s="150"/>
      <c r="AW263" s="150"/>
      <c r="AX263" s="150"/>
      <c r="AY263" s="150"/>
      <c r="AZ263" s="150"/>
      <c r="BA263" s="150"/>
      <c r="BB263" s="150"/>
      <c r="BC263" s="170"/>
      <c r="BD263" s="170"/>
      <c r="BE263" s="170"/>
      <c r="BF263" s="170"/>
      <c r="BG263" s="170"/>
      <c r="BH263" s="170"/>
      <c r="BI263" s="170"/>
      <c r="BJ263" s="170"/>
      <c r="BK263" s="167">
        <f t="shared" si="231"/>
        <v>9747000</v>
      </c>
      <c r="BL263" s="167">
        <f t="shared" si="232"/>
        <v>0</v>
      </c>
      <c r="BM263" s="167">
        <f t="shared" si="233"/>
        <v>410400</v>
      </c>
      <c r="BN263" s="167">
        <f t="shared" si="234"/>
        <v>0</v>
      </c>
    </row>
    <row r="264" spans="1:66" s="171" customFormat="1" ht="15.75" hidden="1" customHeight="1" outlineLevel="3" x14ac:dyDescent="0.3">
      <c r="A264" s="169"/>
      <c r="B264" s="169"/>
      <c r="C264" s="169"/>
      <c r="D264" s="169"/>
      <c r="E264" s="169" t="s">
        <v>2591</v>
      </c>
      <c r="F264" s="169" t="s">
        <v>64</v>
      </c>
      <c r="G264" s="169">
        <v>66</v>
      </c>
      <c r="H264" s="169" t="s">
        <v>247</v>
      </c>
      <c r="I264" s="165">
        <f t="shared" si="224"/>
        <v>0</v>
      </c>
      <c r="J264" s="718">
        <f t="shared" si="225"/>
        <v>0</v>
      </c>
      <c r="K264" s="150">
        <f t="shared" si="227"/>
        <v>0</v>
      </c>
      <c r="L264" s="150">
        <f t="shared" si="230"/>
        <v>0</v>
      </c>
      <c r="M264" s="166"/>
      <c r="N264" s="150"/>
      <c r="O264" s="150"/>
      <c r="P264" s="150"/>
      <c r="Q264" s="150"/>
      <c r="R264" s="150"/>
      <c r="S264" s="150"/>
      <c r="T264" s="150"/>
      <c r="U264" s="150"/>
      <c r="V264" s="150"/>
      <c r="W264" s="150"/>
      <c r="X264" s="150"/>
      <c r="Y264" s="150"/>
      <c r="Z264" s="150"/>
      <c r="AA264" s="150"/>
      <c r="AB264" s="150"/>
      <c r="AC264" s="150"/>
      <c r="AD264" s="150"/>
      <c r="AE264" s="150"/>
      <c r="AF264" s="150"/>
      <c r="AG264" s="150"/>
      <c r="AH264" s="150"/>
      <c r="AI264" s="150"/>
      <c r="AJ264" s="150"/>
      <c r="AK264" s="150"/>
      <c r="AL264" s="150"/>
      <c r="AM264" s="150"/>
      <c r="AN264" s="150"/>
      <c r="AO264" s="150"/>
      <c r="AP264" s="150"/>
      <c r="AQ264" s="150"/>
      <c r="AR264" s="150"/>
      <c r="AS264" s="150"/>
      <c r="AT264" s="150"/>
      <c r="AU264" s="150"/>
      <c r="AV264" s="150"/>
      <c r="AW264" s="150"/>
      <c r="AX264" s="150"/>
      <c r="AY264" s="150"/>
      <c r="AZ264" s="150"/>
      <c r="BA264" s="150"/>
      <c r="BB264" s="150"/>
      <c r="BC264" s="170"/>
      <c r="BD264" s="170"/>
      <c r="BE264" s="170"/>
      <c r="BF264" s="170"/>
      <c r="BG264" s="170"/>
      <c r="BH264" s="170"/>
      <c r="BI264" s="170"/>
      <c r="BJ264" s="170"/>
      <c r="BK264" s="167">
        <f t="shared" si="231"/>
        <v>0</v>
      </c>
      <c r="BL264" s="167">
        <f t="shared" si="232"/>
        <v>0</v>
      </c>
      <c r="BM264" s="167">
        <f t="shared" si="233"/>
        <v>0</v>
      </c>
      <c r="BN264" s="167">
        <f t="shared" si="234"/>
        <v>0</v>
      </c>
    </row>
    <row r="265" spans="1:66" s="168" customFormat="1" hidden="1" outlineLevel="2" collapsed="1" x14ac:dyDescent="0.3">
      <c r="A265" s="164" t="s">
        <v>43</v>
      </c>
      <c r="B265" s="164" t="s">
        <v>2717</v>
      </c>
      <c r="C265" s="164"/>
      <c r="D265" s="164"/>
      <c r="E265" s="164" t="str">
        <f>VLOOKUP(A265,'Kiadások 2a SZH 2023'!A:B,2,0)</f>
        <v>Kötelezően tervezendő műszak, energia, üzemeltetés (közterületesítés nélkül)</v>
      </c>
      <c r="F265" s="164" t="s">
        <v>2695</v>
      </c>
      <c r="G265" s="164"/>
      <c r="H265" s="164" t="s">
        <v>2617</v>
      </c>
      <c r="I265" s="165">
        <f>SUM(I266:I267)</f>
        <v>189901159.67327917</v>
      </c>
      <c r="J265" s="165">
        <f t="shared" ref="J265" si="243">SUM(N265:AO265)</f>
        <v>189901159</v>
      </c>
      <c r="K265" s="150">
        <f>+I265-J265</f>
        <v>0.67327916622161865</v>
      </c>
      <c r="L265" s="150">
        <f t="shared" si="230"/>
        <v>189901159</v>
      </c>
      <c r="M265" s="166"/>
      <c r="N265" s="165"/>
      <c r="O265" s="165"/>
      <c r="P265" s="165"/>
      <c r="Q265" s="165"/>
      <c r="R265" s="165"/>
      <c r="S265" s="165"/>
      <c r="T265" s="165"/>
      <c r="U265" s="165"/>
      <c r="V265" s="165"/>
      <c r="W265" s="165"/>
      <c r="X265" s="165"/>
      <c r="Y265" s="165"/>
      <c r="Z265" s="165"/>
      <c r="AA265" s="165"/>
      <c r="AB265" s="165"/>
      <c r="AC265" s="165"/>
      <c r="AD265" s="165"/>
      <c r="AE265" s="165"/>
      <c r="AF265" s="165"/>
      <c r="AG265" s="165"/>
      <c r="AH265" s="165"/>
      <c r="AI265" s="165"/>
      <c r="AJ265" s="165"/>
      <c r="AK265" s="165"/>
      <c r="AL265" s="165"/>
      <c r="AM265" s="165">
        <f>SUM(AM266:AM267)</f>
        <v>701969</v>
      </c>
      <c r="AN265" s="165">
        <f t="shared" ref="AN265:AO265" si="244">SUM(AN266:AN267)</f>
        <v>19731182</v>
      </c>
      <c r="AO265" s="165">
        <f t="shared" si="244"/>
        <v>169468008</v>
      </c>
      <c r="AP265" s="165"/>
      <c r="AQ265" s="165"/>
      <c r="AR265" s="165"/>
      <c r="AS265" s="165"/>
      <c r="AT265" s="165"/>
      <c r="AU265" s="165"/>
      <c r="AV265" s="165"/>
      <c r="AW265" s="165"/>
      <c r="AX265" s="165"/>
      <c r="AY265" s="165"/>
      <c r="AZ265" s="165"/>
      <c r="BA265" s="165"/>
      <c r="BB265" s="165"/>
      <c r="BC265" s="167"/>
      <c r="BD265" s="167"/>
      <c r="BE265" s="167"/>
      <c r="BF265" s="167"/>
      <c r="BG265" s="167"/>
      <c r="BH265" s="167"/>
      <c r="BI265" s="167"/>
      <c r="BJ265" s="167"/>
      <c r="BK265" s="167">
        <f t="shared" si="231"/>
        <v>0</v>
      </c>
      <c r="BL265" s="167">
        <f t="shared" si="232"/>
        <v>0</v>
      </c>
      <c r="BM265" s="167">
        <f t="shared" si="233"/>
        <v>189901159</v>
      </c>
      <c r="BN265" s="167">
        <f t="shared" si="234"/>
        <v>0</v>
      </c>
    </row>
    <row r="266" spans="1:66" s="171" customFormat="1" ht="15.75" hidden="1" customHeight="1" outlineLevel="3" x14ac:dyDescent="0.3">
      <c r="A266" s="169"/>
      <c r="B266" s="164" t="s">
        <v>2717</v>
      </c>
      <c r="C266" s="164" t="s">
        <v>64</v>
      </c>
      <c r="D266" s="164" t="s">
        <v>2840</v>
      </c>
      <c r="E266" s="169" t="s">
        <v>2626</v>
      </c>
      <c r="F266" s="169" t="s">
        <v>66</v>
      </c>
      <c r="G266" s="169"/>
      <c r="H266" s="198" t="s">
        <v>2665</v>
      </c>
      <c r="I266" s="178">
        <f>+'7.'!E16-'7.'!H16</f>
        <v>12687538.999999985</v>
      </c>
      <c r="J266" s="165">
        <f t="shared" ref="J266:J281" si="245">SUM(N266:AO266)</f>
        <v>12687539</v>
      </c>
      <c r="K266" s="150">
        <f t="shared" ref="K266:K267" si="246">+I266-J266</f>
        <v>-1.4901161193847656E-8</v>
      </c>
      <c r="L266" s="150">
        <f t="shared" si="230"/>
        <v>12687539</v>
      </c>
      <c r="M266" s="173"/>
      <c r="N266" s="150"/>
      <c r="O266" s="150"/>
      <c r="P266" s="150"/>
      <c r="Q266" s="150"/>
      <c r="R266" s="150"/>
      <c r="S266" s="150"/>
      <c r="T266" s="150"/>
      <c r="U266" s="150"/>
      <c r="V266" s="150"/>
      <c r="W266" s="150"/>
      <c r="X266" s="150"/>
      <c r="Y266" s="150"/>
      <c r="Z266" s="150"/>
      <c r="AA266" s="150"/>
      <c r="AB266" s="150"/>
      <c r="AC266" s="150"/>
      <c r="AD266" s="150"/>
      <c r="AE266" s="150"/>
      <c r="AF266" s="150"/>
      <c r="AG266" s="150"/>
      <c r="AH266" s="150"/>
      <c r="AI266" s="150"/>
      <c r="AJ266" s="150"/>
      <c r="AK266" s="150"/>
      <c r="AL266" s="150"/>
      <c r="AM266" s="178">
        <f>+AM137+AM138</f>
        <v>-21236</v>
      </c>
      <c r="AN266" s="178">
        <f>+AN137+AN138</f>
        <v>1540564</v>
      </c>
      <c r="AO266" s="178">
        <f>+AO137+AO138</f>
        <v>11168211</v>
      </c>
      <c r="AP266" s="150"/>
      <c r="AQ266" s="150"/>
      <c r="AR266" s="150"/>
      <c r="AS266" s="150"/>
      <c r="AT266" s="150"/>
      <c r="AU266" s="150"/>
      <c r="AV266" s="150"/>
      <c r="AW266" s="150"/>
      <c r="AX266" s="150"/>
      <c r="AY266" s="150"/>
      <c r="AZ266" s="150"/>
      <c r="BA266" s="150"/>
      <c r="BB266" s="150"/>
      <c r="BC266" s="170"/>
      <c r="BD266" s="170"/>
      <c r="BE266" s="170"/>
      <c r="BF266" s="170"/>
      <c r="BG266" s="170"/>
      <c r="BH266" s="170"/>
      <c r="BI266" s="170"/>
      <c r="BJ266" s="170"/>
      <c r="BK266" s="167">
        <f t="shared" si="231"/>
        <v>0</v>
      </c>
      <c r="BL266" s="167">
        <f t="shared" si="232"/>
        <v>0</v>
      </c>
      <c r="BM266" s="167">
        <f t="shared" si="233"/>
        <v>12687539</v>
      </c>
      <c r="BN266" s="167">
        <f t="shared" si="234"/>
        <v>0</v>
      </c>
    </row>
    <row r="267" spans="1:66" s="171" customFormat="1" ht="15.75" hidden="1" customHeight="1" outlineLevel="3" x14ac:dyDescent="0.3">
      <c r="A267" s="169"/>
      <c r="B267" s="169"/>
      <c r="C267" s="169"/>
      <c r="D267" s="169"/>
      <c r="E267" s="164" t="s">
        <v>2703</v>
      </c>
      <c r="F267" s="169"/>
      <c r="G267" s="164"/>
      <c r="H267" s="169" t="s">
        <v>2617</v>
      </c>
      <c r="I267" s="165">
        <f>SUM(I268:I269)</f>
        <v>177213620.67327917</v>
      </c>
      <c r="J267" s="165">
        <f t="shared" si="245"/>
        <v>177213620</v>
      </c>
      <c r="K267" s="150">
        <f t="shared" si="246"/>
        <v>0.67327916622161865</v>
      </c>
      <c r="L267" s="150">
        <f t="shared" si="230"/>
        <v>177213620</v>
      </c>
      <c r="M267" s="173"/>
      <c r="N267" s="150"/>
      <c r="O267" s="150"/>
      <c r="P267" s="150"/>
      <c r="Q267" s="150"/>
      <c r="R267" s="150"/>
      <c r="S267" s="150"/>
      <c r="T267" s="150"/>
      <c r="U267" s="150"/>
      <c r="V267" s="150"/>
      <c r="W267" s="150"/>
      <c r="X267" s="150"/>
      <c r="Y267" s="150"/>
      <c r="Z267" s="150"/>
      <c r="AA267" s="150"/>
      <c r="AB267" s="150"/>
      <c r="AC267" s="150"/>
      <c r="AD267" s="150"/>
      <c r="AE267" s="150"/>
      <c r="AF267" s="150"/>
      <c r="AG267" s="150"/>
      <c r="AH267" s="150"/>
      <c r="AI267" s="150"/>
      <c r="AJ267" s="150"/>
      <c r="AK267" s="150"/>
      <c r="AL267" s="150"/>
      <c r="AM267" s="165">
        <f t="shared" ref="AM267:AO267" si="247">SUM(AM268:AM269)</f>
        <v>723205</v>
      </c>
      <c r="AN267" s="165">
        <f t="shared" si="247"/>
        <v>18190618</v>
      </c>
      <c r="AO267" s="165">
        <f t="shared" si="247"/>
        <v>158299797</v>
      </c>
      <c r="AP267" s="150"/>
      <c r="AQ267" s="150"/>
      <c r="AR267" s="150"/>
      <c r="AS267" s="150"/>
      <c r="AT267" s="150"/>
      <c r="AU267" s="150"/>
      <c r="AV267" s="150"/>
      <c r="AW267" s="150"/>
      <c r="AX267" s="150"/>
      <c r="AY267" s="150"/>
      <c r="AZ267" s="150"/>
      <c r="BA267" s="150"/>
      <c r="BB267" s="150"/>
      <c r="BC267" s="170"/>
      <c r="BD267" s="170"/>
      <c r="BE267" s="170"/>
      <c r="BF267" s="170"/>
      <c r="BG267" s="170"/>
      <c r="BH267" s="170"/>
      <c r="BI267" s="170"/>
      <c r="BJ267" s="170"/>
      <c r="BK267" s="167">
        <f t="shared" si="231"/>
        <v>0</v>
      </c>
      <c r="BL267" s="167">
        <f t="shared" si="232"/>
        <v>0</v>
      </c>
      <c r="BM267" s="167">
        <f t="shared" si="233"/>
        <v>177213620</v>
      </c>
      <c r="BN267" s="167">
        <f t="shared" si="234"/>
        <v>0</v>
      </c>
    </row>
    <row r="268" spans="1:66" s="171" customFormat="1" ht="15.75" hidden="1" customHeight="1" outlineLevel="3" x14ac:dyDescent="0.3">
      <c r="A268" s="169"/>
      <c r="B268" s="164" t="s">
        <v>2718</v>
      </c>
      <c r="C268" s="164" t="s">
        <v>64</v>
      </c>
      <c r="D268" s="164" t="s">
        <v>2841</v>
      </c>
      <c r="E268" s="169" t="s">
        <v>2705</v>
      </c>
      <c r="F268" s="169" t="s">
        <v>64</v>
      </c>
      <c r="G268" s="164"/>
      <c r="H268" s="198" t="s">
        <v>2622</v>
      </c>
      <c r="I268" s="165">
        <f>VLOOKUP($I$1,'7.'!A:J,9,0)</f>
        <v>3678651.0989999999</v>
      </c>
      <c r="J268" s="165">
        <f t="shared" si="245"/>
        <v>3678651</v>
      </c>
      <c r="K268" s="150">
        <f>+I268-J268</f>
        <v>9.8999999929219484E-2</v>
      </c>
      <c r="L268" s="150">
        <f t="shared" si="230"/>
        <v>3678651</v>
      </c>
      <c r="M268" s="173"/>
      <c r="N268" s="150"/>
      <c r="O268" s="150"/>
      <c r="P268" s="150"/>
      <c r="Q268" s="150"/>
      <c r="R268" s="150"/>
      <c r="S268" s="150"/>
      <c r="T268" s="150"/>
      <c r="U268" s="150"/>
      <c r="V268" s="150"/>
      <c r="W268" s="150"/>
      <c r="X268" s="150"/>
      <c r="Y268" s="150"/>
      <c r="Z268" s="150"/>
      <c r="AA268" s="150"/>
      <c r="AB268" s="150"/>
      <c r="AC268" s="150"/>
      <c r="AD268" s="150"/>
      <c r="AE268" s="150"/>
      <c r="AF268" s="150"/>
      <c r="AG268" s="150"/>
      <c r="AH268" s="150"/>
      <c r="AI268" s="150"/>
      <c r="AJ268" s="150"/>
      <c r="AK268" s="150"/>
      <c r="AL268" s="150"/>
      <c r="AM268" s="178">
        <v>17863</v>
      </c>
      <c r="AN268" s="178">
        <v>103449</v>
      </c>
      <c r="AO268" s="178">
        <v>3557339</v>
      </c>
      <c r="AP268" s="150"/>
      <c r="AQ268" s="150"/>
      <c r="AR268" s="150"/>
      <c r="AS268" s="150"/>
      <c r="AT268" s="150"/>
      <c r="AU268" s="150"/>
      <c r="AV268" s="150"/>
      <c r="AW268" s="150"/>
      <c r="AX268" s="150"/>
      <c r="AY268" s="150"/>
      <c r="AZ268" s="150"/>
      <c r="BA268" s="150"/>
      <c r="BB268" s="150"/>
      <c r="BC268" s="170"/>
      <c r="BD268" s="170"/>
      <c r="BE268" s="170"/>
      <c r="BF268" s="170"/>
      <c r="BG268" s="170"/>
      <c r="BH268" s="170"/>
      <c r="BI268" s="170"/>
      <c r="BJ268" s="170"/>
      <c r="BK268" s="167">
        <f t="shared" si="231"/>
        <v>0</v>
      </c>
      <c r="BL268" s="167">
        <f t="shared" si="232"/>
        <v>0</v>
      </c>
      <c r="BM268" s="167">
        <f t="shared" si="233"/>
        <v>3678651</v>
      </c>
      <c r="BN268" s="167">
        <f t="shared" si="234"/>
        <v>0</v>
      </c>
    </row>
    <row r="269" spans="1:66" s="171" customFormat="1" ht="15.75" hidden="1" customHeight="1" outlineLevel="3" x14ac:dyDescent="0.3">
      <c r="A269" s="169"/>
      <c r="B269" s="164" t="s">
        <v>2717</v>
      </c>
      <c r="C269" s="164" t="s">
        <v>64</v>
      </c>
      <c r="D269" s="164" t="s">
        <v>2840</v>
      </c>
      <c r="E269" s="169" t="s">
        <v>2704</v>
      </c>
      <c r="F269" s="169" t="s">
        <v>64</v>
      </c>
      <c r="G269" s="164"/>
      <c r="H269" s="198" t="s">
        <v>2622</v>
      </c>
      <c r="I269" s="165">
        <f>VLOOKUP(I1,'7.'!A:J,8,0)+VLOOKUP(I1,'7.'!A:J,10,0)</f>
        <v>173534969.57427916</v>
      </c>
      <c r="J269" s="165">
        <f t="shared" si="245"/>
        <v>173534969</v>
      </c>
      <c r="K269" s="150">
        <f>+I269-J269</f>
        <v>0.57427915930747986</v>
      </c>
      <c r="L269" s="150">
        <f t="shared" si="230"/>
        <v>173534969</v>
      </c>
      <c r="M269" s="173"/>
      <c r="N269" s="150"/>
      <c r="O269" s="150"/>
      <c r="P269" s="150"/>
      <c r="Q269" s="150"/>
      <c r="R269" s="150"/>
      <c r="S269" s="150"/>
      <c r="T269" s="150"/>
      <c r="U269" s="150"/>
      <c r="V269" s="150"/>
      <c r="W269" s="150"/>
      <c r="X269" s="150"/>
      <c r="Y269" s="150"/>
      <c r="Z269" s="150"/>
      <c r="AA269" s="150"/>
      <c r="AB269" s="150"/>
      <c r="AC269" s="150"/>
      <c r="AD269" s="150"/>
      <c r="AE269" s="150"/>
      <c r="AF269" s="150"/>
      <c r="AG269" s="150"/>
      <c r="AH269" s="150"/>
      <c r="AI269" s="150"/>
      <c r="AJ269" s="150"/>
      <c r="AK269" s="150"/>
      <c r="AL269" s="150"/>
      <c r="AM269" s="178">
        <v>705342</v>
      </c>
      <c r="AN269" s="178">
        <v>18087169</v>
      </c>
      <c r="AO269" s="178">
        <v>154742458</v>
      </c>
      <c r="AP269" s="150"/>
      <c r="AQ269" s="150"/>
      <c r="AR269" s="150"/>
      <c r="AS269" s="150"/>
      <c r="AT269" s="150"/>
      <c r="AU269" s="150"/>
      <c r="AV269" s="150"/>
      <c r="AW269" s="150"/>
      <c r="AX269" s="150"/>
      <c r="AY269" s="150"/>
      <c r="AZ269" s="150"/>
      <c r="BA269" s="150"/>
      <c r="BB269" s="150"/>
      <c r="BC269" s="170"/>
      <c r="BD269" s="170"/>
      <c r="BE269" s="170"/>
      <c r="BF269" s="170"/>
      <c r="BG269" s="170"/>
      <c r="BH269" s="170"/>
      <c r="BI269" s="170"/>
      <c r="BJ269" s="170"/>
      <c r="BK269" s="167">
        <f t="shared" si="231"/>
        <v>0</v>
      </c>
      <c r="BL269" s="167">
        <f t="shared" si="232"/>
        <v>0</v>
      </c>
      <c r="BM269" s="167">
        <f t="shared" si="233"/>
        <v>173534969</v>
      </c>
      <c r="BN269" s="167">
        <f t="shared" si="234"/>
        <v>0</v>
      </c>
    </row>
    <row r="270" spans="1:66" s="168" customFormat="1" hidden="1" outlineLevel="2" collapsed="1" x14ac:dyDescent="0.3">
      <c r="A270" s="164" t="s">
        <v>45</v>
      </c>
      <c r="B270" s="164" t="s">
        <v>2719</v>
      </c>
      <c r="C270" s="164"/>
      <c r="D270" s="164"/>
      <c r="E270" s="164" t="str">
        <f>VLOOKUP(A270,'Kiadások 2a SZH 2023'!A:B,2,0)</f>
        <v>Kötelezően tervezendő informatika (funkcionális része lesz 2023. évben)</v>
      </c>
      <c r="F270" s="164" t="s">
        <v>2695</v>
      </c>
      <c r="G270" s="169"/>
      <c r="H270" s="164" t="s">
        <v>2617</v>
      </c>
      <c r="I270" s="165">
        <f>IFERROR(VLOOKUP($A270,'Kiadások 2a SZH 2023'!$A:$M,MATCH($I$1,'Kiadások 2a SZH 2023'!$A$1:$M$1,0),0), )</f>
        <v>0</v>
      </c>
      <c r="J270" s="165">
        <f t="shared" si="245"/>
        <v>0</v>
      </c>
      <c r="K270" s="150">
        <f t="shared" ref="K270:K302" si="248">+I270-J270</f>
        <v>0</v>
      </c>
      <c r="L270" s="150">
        <f t="shared" si="230"/>
        <v>0</v>
      </c>
      <c r="M270" s="166"/>
      <c r="N270" s="165"/>
      <c r="O270" s="165"/>
      <c r="P270" s="165"/>
      <c r="Q270" s="165"/>
      <c r="R270" s="165"/>
      <c r="S270" s="165"/>
      <c r="T270" s="165"/>
      <c r="U270" s="165"/>
      <c r="V270" s="165"/>
      <c r="W270" s="165"/>
      <c r="X270" s="165"/>
      <c r="Y270" s="165"/>
      <c r="Z270" s="165"/>
      <c r="AA270" s="165"/>
      <c r="AB270" s="165"/>
      <c r="AC270" s="165"/>
      <c r="AD270" s="165"/>
      <c r="AE270" s="165"/>
      <c r="AF270" s="165"/>
      <c r="AG270" s="165"/>
      <c r="AH270" s="165"/>
      <c r="AI270" s="165">
        <f>SUM(AI272:AI272)</f>
        <v>0</v>
      </c>
      <c r="AJ270" s="165"/>
      <c r="AK270" s="165"/>
      <c r="AL270" s="165"/>
      <c r="AM270" s="165"/>
      <c r="AN270" s="165"/>
      <c r="AO270" s="165"/>
      <c r="AP270" s="165"/>
      <c r="AQ270" s="165"/>
      <c r="AR270" s="165"/>
      <c r="AS270" s="165"/>
      <c r="AT270" s="165"/>
      <c r="AU270" s="165"/>
      <c r="AV270" s="165"/>
      <c r="AW270" s="165"/>
      <c r="AX270" s="165"/>
      <c r="AY270" s="165"/>
      <c r="AZ270" s="165"/>
      <c r="BA270" s="165"/>
      <c r="BB270" s="165"/>
      <c r="BC270" s="167"/>
      <c r="BD270" s="167"/>
      <c r="BE270" s="167"/>
      <c r="BF270" s="167"/>
      <c r="BG270" s="167"/>
      <c r="BH270" s="167"/>
      <c r="BI270" s="167"/>
      <c r="BJ270" s="167"/>
      <c r="BK270" s="167">
        <f t="shared" si="231"/>
        <v>0</v>
      </c>
      <c r="BL270" s="167">
        <f t="shared" si="232"/>
        <v>0</v>
      </c>
      <c r="BM270" s="167">
        <f t="shared" si="233"/>
        <v>0</v>
      </c>
      <c r="BN270" s="167">
        <f t="shared" si="234"/>
        <v>0</v>
      </c>
    </row>
    <row r="271" spans="1:66" s="171" customFormat="1" ht="15.75" hidden="1" customHeight="1" outlineLevel="3" x14ac:dyDescent="0.3">
      <c r="A271" s="169"/>
      <c r="B271" s="164" t="s">
        <v>2719</v>
      </c>
      <c r="C271" s="164" t="s">
        <v>64</v>
      </c>
      <c r="D271" s="164" t="s">
        <v>2842</v>
      </c>
      <c r="E271" s="169" t="s">
        <v>2624</v>
      </c>
      <c r="F271" s="169" t="s">
        <v>66</v>
      </c>
      <c r="G271" s="169"/>
      <c r="H271" s="182" t="s">
        <v>2805</v>
      </c>
      <c r="I271" s="165">
        <f>IFERROR(VLOOKUP($I$1,'12.'!B:G,6,0),0)</f>
        <v>0</v>
      </c>
      <c r="J271" s="165">
        <f t="shared" si="245"/>
        <v>0</v>
      </c>
      <c r="K271" s="150">
        <f t="shared" si="248"/>
        <v>0</v>
      </c>
      <c r="L271" s="150">
        <f t="shared" si="230"/>
        <v>0</v>
      </c>
      <c r="M271" s="166"/>
      <c r="N271" s="150"/>
      <c r="O271" s="150"/>
      <c r="P271" s="150"/>
      <c r="Q271" s="150"/>
      <c r="R271" s="150"/>
      <c r="S271" s="150"/>
      <c r="T271" s="150"/>
      <c r="U271" s="150"/>
      <c r="V271" s="150"/>
      <c r="W271" s="150"/>
      <c r="X271" s="150"/>
      <c r="Y271" s="150"/>
      <c r="Z271" s="150"/>
      <c r="AA271" s="150"/>
      <c r="AB271" s="150"/>
      <c r="AC271" s="150"/>
      <c r="AD271" s="150"/>
      <c r="AE271" s="150"/>
      <c r="AF271" s="150"/>
      <c r="AG271" s="150"/>
      <c r="AH271" s="150"/>
      <c r="AI271" s="150">
        <f>+I271</f>
        <v>0</v>
      </c>
      <c r="AJ271" s="150"/>
      <c r="AK271" s="150"/>
      <c r="AL271" s="150"/>
      <c r="AM271" s="150"/>
      <c r="AN271" s="150"/>
      <c r="AO271" s="150"/>
      <c r="AP271" s="150"/>
      <c r="AQ271" s="150"/>
      <c r="AR271" s="150"/>
      <c r="AS271" s="150"/>
      <c r="AT271" s="150"/>
      <c r="AU271" s="150"/>
      <c r="AV271" s="150"/>
      <c r="AW271" s="150"/>
      <c r="AX271" s="150"/>
      <c r="AY271" s="150"/>
      <c r="AZ271" s="150"/>
      <c r="BA271" s="150"/>
      <c r="BB271" s="150"/>
      <c r="BC271" s="170"/>
      <c r="BD271" s="170"/>
      <c r="BE271" s="170"/>
      <c r="BF271" s="170"/>
      <c r="BG271" s="170"/>
      <c r="BH271" s="170"/>
      <c r="BI271" s="170"/>
      <c r="BJ271" s="170"/>
      <c r="BK271" s="167">
        <f t="shared" si="231"/>
        <v>0</v>
      </c>
      <c r="BL271" s="167">
        <f t="shared" si="232"/>
        <v>0</v>
      </c>
      <c r="BM271" s="167">
        <f t="shared" si="233"/>
        <v>0</v>
      </c>
      <c r="BN271" s="167">
        <f t="shared" si="234"/>
        <v>0</v>
      </c>
    </row>
    <row r="272" spans="1:66" s="171" customFormat="1" ht="15.75" hidden="1" customHeight="1" outlineLevel="3" x14ac:dyDescent="0.3">
      <c r="A272" s="169"/>
      <c r="B272" s="164"/>
      <c r="C272" s="164"/>
      <c r="D272" s="164"/>
      <c r="E272" s="164" t="s">
        <v>2700</v>
      </c>
      <c r="F272" s="169"/>
      <c r="G272" s="169"/>
      <c r="H272" s="169" t="s">
        <v>2617</v>
      </c>
      <c r="I272" s="165">
        <f>SUM(I273:I275)</f>
        <v>0</v>
      </c>
      <c r="J272" s="165">
        <f t="shared" si="245"/>
        <v>0</v>
      </c>
      <c r="K272" s="150">
        <f t="shared" si="248"/>
        <v>0</v>
      </c>
      <c r="L272" s="150">
        <f t="shared" si="230"/>
        <v>0</v>
      </c>
      <c r="M272" s="166"/>
      <c r="N272" s="150"/>
      <c r="O272" s="150"/>
      <c r="P272" s="150"/>
      <c r="Q272" s="150"/>
      <c r="R272" s="150"/>
      <c r="S272" s="150"/>
      <c r="T272" s="150"/>
      <c r="U272" s="150"/>
      <c r="V272" s="150"/>
      <c r="W272" s="150"/>
      <c r="X272" s="150"/>
      <c r="Y272" s="150"/>
      <c r="Z272" s="150"/>
      <c r="AA272" s="150"/>
      <c r="AB272" s="150"/>
      <c r="AC272" s="150"/>
      <c r="AD272" s="150"/>
      <c r="AE272" s="150"/>
      <c r="AF272" s="150"/>
      <c r="AG272" s="150"/>
      <c r="AH272" s="150"/>
      <c r="AI272" s="150">
        <f>SUM(AI273:AI274)</f>
        <v>0</v>
      </c>
      <c r="AJ272" s="150"/>
      <c r="AK272" s="150"/>
      <c r="AL272" s="150"/>
      <c r="AM272" s="150"/>
      <c r="AN272" s="150"/>
      <c r="AO272" s="150"/>
      <c r="AP272" s="150"/>
      <c r="AQ272" s="150"/>
      <c r="AR272" s="150"/>
      <c r="AS272" s="150"/>
      <c r="AT272" s="150"/>
      <c r="AU272" s="150"/>
      <c r="AV272" s="150"/>
      <c r="AW272" s="150"/>
      <c r="AX272" s="150"/>
      <c r="AY272" s="150"/>
      <c r="AZ272" s="150"/>
      <c r="BA272" s="150"/>
      <c r="BB272" s="150"/>
      <c r="BC272" s="170"/>
      <c r="BD272" s="170"/>
      <c r="BE272" s="170"/>
      <c r="BF272" s="170"/>
      <c r="BG272" s="170"/>
      <c r="BH272" s="170"/>
      <c r="BI272" s="170"/>
      <c r="BJ272" s="170"/>
      <c r="BK272" s="167">
        <f t="shared" si="231"/>
        <v>0</v>
      </c>
      <c r="BL272" s="167">
        <f t="shared" si="232"/>
        <v>0</v>
      </c>
      <c r="BM272" s="167">
        <f t="shared" si="233"/>
        <v>0</v>
      </c>
      <c r="BN272" s="167">
        <f t="shared" si="234"/>
        <v>0</v>
      </c>
    </row>
    <row r="273" spans="1:66" s="171" customFormat="1" ht="15.75" hidden="1" customHeight="1" outlineLevel="3" x14ac:dyDescent="0.3">
      <c r="A273" s="169"/>
      <c r="B273" s="164" t="s">
        <v>2720</v>
      </c>
      <c r="C273" s="164" t="s">
        <v>64</v>
      </c>
      <c r="D273" s="164" t="s">
        <v>2843</v>
      </c>
      <c r="E273" s="169" t="s">
        <v>2701</v>
      </c>
      <c r="F273" s="169" t="s">
        <v>64</v>
      </c>
      <c r="G273" s="169"/>
      <c r="H273" s="199" t="s">
        <v>2623</v>
      </c>
      <c r="I273" s="165">
        <f>IFERROR(VLOOKUP($I$1,'12.'!$B:$E,2,0),0)-I271</f>
        <v>0</v>
      </c>
      <c r="J273" s="165">
        <f t="shared" si="245"/>
        <v>0</v>
      </c>
      <c r="K273" s="150">
        <f>+I273-J273</f>
        <v>0</v>
      </c>
      <c r="L273" s="150">
        <f t="shared" si="230"/>
        <v>0</v>
      </c>
      <c r="M273" s="166"/>
      <c r="N273" s="150"/>
      <c r="O273" s="150"/>
      <c r="P273" s="150"/>
      <c r="Q273" s="150"/>
      <c r="R273" s="150"/>
      <c r="S273" s="150"/>
      <c r="T273" s="150"/>
      <c r="U273" s="150"/>
      <c r="V273" s="150"/>
      <c r="W273" s="150"/>
      <c r="X273" s="150"/>
      <c r="Y273" s="150"/>
      <c r="Z273" s="150"/>
      <c r="AA273" s="150"/>
      <c r="AB273" s="150"/>
      <c r="AC273" s="150"/>
      <c r="AD273" s="150"/>
      <c r="AE273" s="150"/>
      <c r="AF273" s="150"/>
      <c r="AG273" s="150"/>
      <c r="AH273" s="150"/>
      <c r="AI273" s="150">
        <f>+I273</f>
        <v>0</v>
      </c>
      <c r="AJ273" s="150"/>
      <c r="AK273" s="150"/>
      <c r="AL273" s="150"/>
      <c r="AM273" s="150"/>
      <c r="AN273" s="150"/>
      <c r="AO273" s="150"/>
      <c r="AP273" s="150"/>
      <c r="AQ273" s="150"/>
      <c r="AR273" s="150"/>
      <c r="AS273" s="150"/>
      <c r="AT273" s="150"/>
      <c r="AU273" s="150"/>
      <c r="AV273" s="150"/>
      <c r="AW273" s="150"/>
      <c r="AX273" s="150"/>
      <c r="AY273" s="150"/>
      <c r="AZ273" s="150"/>
      <c r="BA273" s="150"/>
      <c r="BB273" s="150"/>
      <c r="BC273" s="170"/>
      <c r="BD273" s="170"/>
      <c r="BE273" s="170"/>
      <c r="BF273" s="170"/>
      <c r="BG273" s="170"/>
      <c r="BH273" s="170"/>
      <c r="BI273" s="170"/>
      <c r="BJ273" s="170"/>
      <c r="BK273" s="167">
        <f t="shared" si="231"/>
        <v>0</v>
      </c>
      <c r="BL273" s="167">
        <f t="shared" si="232"/>
        <v>0</v>
      </c>
      <c r="BM273" s="167">
        <f t="shared" si="233"/>
        <v>0</v>
      </c>
      <c r="BN273" s="167">
        <f t="shared" si="234"/>
        <v>0</v>
      </c>
    </row>
    <row r="274" spans="1:66" s="171" customFormat="1" ht="15.75" hidden="1" customHeight="1" outlineLevel="3" x14ac:dyDescent="0.3">
      <c r="A274" s="169"/>
      <c r="B274" s="164" t="s">
        <v>2719</v>
      </c>
      <c r="C274" s="164" t="s">
        <v>64</v>
      </c>
      <c r="D274" s="164" t="s">
        <v>2842</v>
      </c>
      <c r="E274" s="169" t="s">
        <v>2702</v>
      </c>
      <c r="F274" s="169" t="s">
        <v>64</v>
      </c>
      <c r="G274" s="169"/>
      <c r="H274" s="199" t="s">
        <v>2623</v>
      </c>
      <c r="I274" s="165">
        <f>IFERROR(VLOOKUP($I$1,'12.'!$B:$E,3,0),0)</f>
        <v>0</v>
      </c>
      <c r="J274" s="165">
        <f t="shared" si="245"/>
        <v>0</v>
      </c>
      <c r="K274" s="150">
        <f>+I274-J274</f>
        <v>0</v>
      </c>
      <c r="L274" s="150">
        <f t="shared" si="230"/>
        <v>0</v>
      </c>
      <c r="M274" s="166"/>
      <c r="N274" s="150"/>
      <c r="O274" s="150"/>
      <c r="P274" s="150"/>
      <c r="Q274" s="150"/>
      <c r="R274" s="150"/>
      <c r="S274" s="150"/>
      <c r="T274" s="150"/>
      <c r="U274" s="150"/>
      <c r="V274" s="150"/>
      <c r="W274" s="150"/>
      <c r="X274" s="150"/>
      <c r="Y274" s="150"/>
      <c r="Z274" s="150"/>
      <c r="AA274" s="150"/>
      <c r="AB274" s="150"/>
      <c r="AC274" s="150"/>
      <c r="AD274" s="150"/>
      <c r="AE274" s="150"/>
      <c r="AF274" s="150"/>
      <c r="AG274" s="150"/>
      <c r="AH274" s="150"/>
      <c r="AI274" s="150">
        <f>+I274</f>
        <v>0</v>
      </c>
      <c r="AJ274" s="150"/>
      <c r="AK274" s="150"/>
      <c r="AL274" s="150"/>
      <c r="AM274" s="150"/>
      <c r="AN274" s="150"/>
      <c r="AO274" s="150"/>
      <c r="AP274" s="150"/>
      <c r="AQ274" s="150"/>
      <c r="AR274" s="150"/>
      <c r="AS274" s="150"/>
      <c r="AT274" s="150"/>
      <c r="AU274" s="150"/>
      <c r="AV274" s="150"/>
      <c r="AW274" s="150"/>
      <c r="AX274" s="150"/>
      <c r="AY274" s="150"/>
      <c r="AZ274" s="150"/>
      <c r="BA274" s="150"/>
      <c r="BB274" s="150"/>
      <c r="BC274" s="170"/>
      <c r="BD274" s="170"/>
      <c r="BE274" s="170"/>
      <c r="BF274" s="170"/>
      <c r="BG274" s="170"/>
      <c r="BH274" s="170"/>
      <c r="BI274" s="170"/>
      <c r="BJ274" s="170"/>
      <c r="BK274" s="167">
        <f t="shared" si="231"/>
        <v>0</v>
      </c>
      <c r="BL274" s="167">
        <f t="shared" si="232"/>
        <v>0</v>
      </c>
      <c r="BM274" s="167">
        <f t="shared" si="233"/>
        <v>0</v>
      </c>
      <c r="BN274" s="167">
        <f t="shared" si="234"/>
        <v>0</v>
      </c>
    </row>
    <row r="275" spans="1:66" s="168" customFormat="1" hidden="1" outlineLevel="2" collapsed="1" x14ac:dyDescent="0.3">
      <c r="A275" s="164" t="s">
        <v>46</v>
      </c>
      <c r="B275" s="164" t="s">
        <v>3255</v>
      </c>
      <c r="C275" s="164" t="s">
        <v>64</v>
      </c>
      <c r="D275" s="164" t="s">
        <v>2844</v>
      </c>
      <c r="E275" s="164" t="str">
        <f>VLOOKUP(A275,'Kiadások 2a SZH 2023'!A:B,2,0)</f>
        <v>Kötelezően tervezendő telefon költség (2022. évi elszámolás összege alapján)</v>
      </c>
      <c r="F275" s="164" t="s">
        <v>2695</v>
      </c>
      <c r="G275" s="169"/>
      <c r="H275" s="164" t="s">
        <v>2617</v>
      </c>
      <c r="I275" s="165">
        <f>IFERROR(VLOOKUP($A275,'Kiadások 2a SZH 2023'!$A:$M,MATCH($I$1,'Kiadások 2a SZH 2023'!$A$1:$M$1,0),0), )</f>
        <v>0</v>
      </c>
      <c r="J275" s="165">
        <f t="shared" si="245"/>
        <v>0</v>
      </c>
      <c r="K275" s="150">
        <f t="shared" si="248"/>
        <v>0</v>
      </c>
      <c r="L275" s="150">
        <f t="shared" si="230"/>
        <v>0</v>
      </c>
      <c r="M275" s="166"/>
      <c r="N275" s="165">
        <f>SUM(N276:N281)</f>
        <v>0</v>
      </c>
      <c r="O275" s="165">
        <f>SUM(O276:O281)</f>
        <v>0</v>
      </c>
      <c r="P275" s="165">
        <f t="shared" ref="P275:Z275" si="249">SUM(P276:P281)</f>
        <v>0</v>
      </c>
      <c r="Q275" s="165">
        <f t="shared" si="249"/>
        <v>0</v>
      </c>
      <c r="R275" s="165">
        <f t="shared" si="249"/>
        <v>0</v>
      </c>
      <c r="S275" s="165">
        <f t="shared" si="249"/>
        <v>0</v>
      </c>
      <c r="T275" s="165">
        <f t="shared" si="249"/>
        <v>0</v>
      </c>
      <c r="U275" s="165">
        <f t="shared" si="249"/>
        <v>0</v>
      </c>
      <c r="V275" s="165">
        <f t="shared" si="249"/>
        <v>0</v>
      </c>
      <c r="W275" s="165">
        <f t="shared" si="249"/>
        <v>0</v>
      </c>
      <c r="X275" s="165">
        <f t="shared" si="249"/>
        <v>0</v>
      </c>
      <c r="Y275" s="165">
        <f t="shared" si="249"/>
        <v>0</v>
      </c>
      <c r="Z275" s="165">
        <f t="shared" si="249"/>
        <v>0</v>
      </c>
      <c r="AA275" s="165">
        <f t="shared" ref="AA275:AL275" si="250">SUM(AA276:AA281)</f>
        <v>0</v>
      </c>
      <c r="AB275" s="165">
        <f t="shared" si="250"/>
        <v>0</v>
      </c>
      <c r="AC275" s="165">
        <f t="shared" si="250"/>
        <v>0</v>
      </c>
      <c r="AD275" s="165">
        <f t="shared" si="250"/>
        <v>0</v>
      </c>
      <c r="AE275" s="165">
        <f t="shared" si="250"/>
        <v>0</v>
      </c>
      <c r="AF275" s="165">
        <f t="shared" ref="AF275" si="251">SUM(AF276:AF281)</f>
        <v>0</v>
      </c>
      <c r="AG275" s="165">
        <f t="shared" ref="AG275" si="252">SUM(AG276:AG281)</f>
        <v>0</v>
      </c>
      <c r="AH275" s="165">
        <f t="shared" si="250"/>
        <v>0</v>
      </c>
      <c r="AI275" s="165"/>
      <c r="AJ275" s="165">
        <f t="shared" si="250"/>
        <v>0</v>
      </c>
      <c r="AK275" s="165">
        <f t="shared" si="250"/>
        <v>0</v>
      </c>
      <c r="AL275" s="165">
        <f t="shared" si="250"/>
        <v>0</v>
      </c>
      <c r="AM275" s="165"/>
      <c r="AN275" s="165"/>
      <c r="AO275" s="165"/>
      <c r="AP275" s="165"/>
      <c r="AQ275" s="165"/>
      <c r="AR275" s="165"/>
      <c r="AS275" s="165"/>
      <c r="AT275" s="165"/>
      <c r="AU275" s="165"/>
      <c r="AV275" s="165"/>
      <c r="AW275" s="165"/>
      <c r="AX275" s="165"/>
      <c r="AY275" s="165"/>
      <c r="AZ275" s="165"/>
      <c r="BA275" s="165"/>
      <c r="BB275" s="165"/>
      <c r="BC275" s="167"/>
      <c r="BD275" s="167"/>
      <c r="BE275" s="167"/>
      <c r="BF275" s="167"/>
      <c r="BG275" s="167"/>
      <c r="BH275" s="167"/>
      <c r="BI275" s="167"/>
      <c r="BJ275" s="167"/>
      <c r="BK275" s="167">
        <f t="shared" si="231"/>
        <v>0</v>
      </c>
      <c r="BL275" s="167">
        <f t="shared" si="232"/>
        <v>0</v>
      </c>
      <c r="BM275" s="167">
        <f t="shared" si="233"/>
        <v>0</v>
      </c>
      <c r="BN275" s="167">
        <f t="shared" si="234"/>
        <v>0</v>
      </c>
    </row>
    <row r="276" spans="1:66" s="168" customFormat="1" ht="15.75" hidden="1" customHeight="1" outlineLevel="3" x14ac:dyDescent="0.3">
      <c r="A276" s="164"/>
      <c r="B276" s="164"/>
      <c r="C276" s="164"/>
      <c r="D276" s="164"/>
      <c r="E276" s="164" t="s">
        <v>2655</v>
      </c>
      <c r="F276" s="164" t="s">
        <v>66</v>
      </c>
      <c r="G276" s="169"/>
      <c r="H276" s="164" t="s">
        <v>2590</v>
      </c>
      <c r="I276" s="178">
        <f>I275</f>
        <v>0</v>
      </c>
      <c r="J276" s="165">
        <f t="shared" si="245"/>
        <v>0</v>
      </c>
      <c r="K276" s="150">
        <f t="shared" si="248"/>
        <v>0</v>
      </c>
      <c r="L276" s="150">
        <f t="shared" si="230"/>
        <v>0</v>
      </c>
      <c r="M276" s="175">
        <v>3</v>
      </c>
      <c r="N276" s="150">
        <f>IFERROR(VLOOKUP($M276,'1 b felosztások'!$A:$AE,'1 b felosztások'!C$2,0)*$I276,0)</f>
        <v>0</v>
      </c>
      <c r="O276" s="150">
        <f>IFERROR(VLOOKUP($M276,'1 b felosztások'!$A:$AE,'1 b felosztások'!D$2,0)*$I276,0)</f>
        <v>0</v>
      </c>
      <c r="P276" s="150">
        <f>IFERROR(VLOOKUP($M276,'1 b felosztások'!$A:$AE,'1 b felosztások'!E$2,0)*$I276,0)</f>
        <v>0</v>
      </c>
      <c r="Q276" s="150">
        <f>IFERROR(VLOOKUP($M276,'1 b felosztások'!$A:$AE,'1 b felosztások'!F$2,0)*$I276,0)</f>
        <v>0</v>
      </c>
      <c r="R276" s="150">
        <f>IFERROR(VLOOKUP($M276,'1 b felosztások'!$A:$AE,'1 b felosztások'!G$2,0)*$I276,0)</f>
        <v>0</v>
      </c>
      <c r="S276" s="150">
        <f>IFERROR(VLOOKUP($M276,'1 b felosztások'!$A:$AE,'1 b felosztások'!H$2,0)*$I276,0)</f>
        <v>0</v>
      </c>
      <c r="T276" s="150">
        <f>IFERROR(VLOOKUP($M276,'1 b felosztások'!$A:$AE,'1 b felosztások'!I$2,0)*$I276,0)</f>
        <v>0</v>
      </c>
      <c r="U276" s="150">
        <f>IFERROR(VLOOKUP($M276,'1 b felosztások'!$A:$AE,'1 b felosztások'!J$2,0)*$I276,0)</f>
        <v>0</v>
      </c>
      <c r="V276" s="150">
        <f>IFERROR(VLOOKUP($M276,'1 b felosztások'!$A:$AE,'1 b felosztások'!K$2,0)*$I276,0)</f>
        <v>0</v>
      </c>
      <c r="W276" s="150">
        <f>IFERROR(VLOOKUP($M276,'1 b felosztások'!$A:$AE,'1 b felosztások'!L$2,0)*$I276,0)</f>
        <v>0</v>
      </c>
      <c r="X276" s="150">
        <f>IFERROR(VLOOKUP($M276,'1 b felosztások'!$A:$AE,'1 b felosztások'!M$2,0)*$I276,0)</f>
        <v>0</v>
      </c>
      <c r="Y276" s="150">
        <f>IFERROR(VLOOKUP($M276,'1 b felosztások'!$A:$AE,'1 b felosztások'!N$2,0)*$I276,0)</f>
        <v>0</v>
      </c>
      <c r="Z276" s="150">
        <f>IFERROR(VLOOKUP($M276,'1 b felosztások'!$A:$AE,'1 b felosztások'!O$2,0)*$I276,0)</f>
        <v>0</v>
      </c>
      <c r="AA276" s="150">
        <f>IFERROR(VLOOKUP($M276,'1 b felosztások'!$A:$AE,'1 b felosztások'!P$2,0)*$I276,0)</f>
        <v>0</v>
      </c>
      <c r="AB276" s="150">
        <f>IFERROR(VLOOKUP($M276,'1 b felosztások'!$A:$AE,'1 b felosztások'!Q$2,0)*$I276,0)</f>
        <v>0</v>
      </c>
      <c r="AC276" s="150">
        <f>IFERROR(VLOOKUP($M276,'1 b felosztások'!$A:$AE,'1 b felosztások'!R$2,0)*$I276,0)</f>
        <v>0</v>
      </c>
      <c r="AD276" s="150">
        <f>IFERROR(VLOOKUP($M276,'1 b felosztások'!$A:$AE,'1 b felosztások'!S$2,0)*$I276,0)</f>
        <v>0</v>
      </c>
      <c r="AE276" s="150">
        <f>IFERROR(VLOOKUP($M276,'1 b felosztások'!$A:$AE,'1 b felosztások'!T$2,0)*$I276,0)</f>
        <v>0</v>
      </c>
      <c r="AF276" s="165"/>
      <c r="AG276" s="165"/>
      <c r="AH276" s="165"/>
      <c r="AI276" s="165"/>
      <c r="AJ276" s="165"/>
      <c r="AK276" s="165"/>
      <c r="AL276" s="165"/>
      <c r="AM276" s="165"/>
      <c r="AN276" s="165"/>
      <c r="AO276" s="165"/>
      <c r="AP276" s="165"/>
      <c r="AQ276" s="165"/>
      <c r="AR276" s="165"/>
      <c r="AS276" s="165"/>
      <c r="AT276" s="165"/>
      <c r="AU276" s="165"/>
      <c r="AV276" s="165"/>
      <c r="AW276" s="165"/>
      <c r="AX276" s="165"/>
      <c r="AY276" s="165"/>
      <c r="AZ276" s="165"/>
      <c r="BA276" s="165"/>
      <c r="BB276" s="165"/>
      <c r="BC276" s="167"/>
      <c r="BD276" s="167"/>
      <c r="BE276" s="167"/>
      <c r="BF276" s="167"/>
      <c r="BG276" s="167"/>
      <c r="BH276" s="167"/>
      <c r="BI276" s="167"/>
      <c r="BJ276" s="167"/>
      <c r="BK276" s="167">
        <f t="shared" si="231"/>
        <v>0</v>
      </c>
      <c r="BL276" s="167">
        <f t="shared" si="232"/>
        <v>0</v>
      </c>
      <c r="BM276" s="167">
        <f t="shared" si="233"/>
        <v>0</v>
      </c>
      <c r="BN276" s="167">
        <f t="shared" si="234"/>
        <v>0</v>
      </c>
    </row>
    <row r="277" spans="1:66" s="168" customFormat="1" ht="15.75" hidden="1" customHeight="1" outlineLevel="3" x14ac:dyDescent="0.3">
      <c r="A277" s="164"/>
      <c r="B277" s="164"/>
      <c r="C277" s="164"/>
      <c r="D277" s="164"/>
      <c r="E277" s="164" t="s">
        <v>2656</v>
      </c>
      <c r="F277" s="164" t="s">
        <v>64</v>
      </c>
      <c r="G277" s="169"/>
      <c r="H277" s="164" t="s">
        <v>2620</v>
      </c>
      <c r="I277" s="178"/>
      <c r="J277" s="165">
        <f t="shared" si="245"/>
        <v>0</v>
      </c>
      <c r="K277" s="150">
        <f t="shared" si="248"/>
        <v>0</v>
      </c>
      <c r="L277" s="150">
        <f t="shared" si="230"/>
        <v>0</v>
      </c>
      <c r="M277" s="175"/>
      <c r="N277" s="150" cm="1">
        <f t="array" ref="N277">IFERROR(VLOOKUP($M277,'1 b felosztások'!$A:$E,COLUMN('1 b felosztások'!C:C),0)*$I277,0)</f>
        <v>0</v>
      </c>
      <c r="O277" s="150" cm="1">
        <f t="array" ref="O277">IFERROR(VLOOKUP($M277,'1 b felosztások'!$A:$E,COLUMN('1 b felosztások'!D:D),0)*$I277,0)</f>
        <v>0</v>
      </c>
      <c r="P277" s="150" cm="1">
        <f t="array" ref="P277">IFERROR(VLOOKUP($M277,'1 b felosztások'!$A:$E,COLUMN('1 b felosztások'!E:E),0)*$I277,0)</f>
        <v>0</v>
      </c>
      <c r="Q277" s="150" cm="1">
        <f t="array" ref="Q277">IFERROR(VLOOKUP($M277,'1 b felosztások'!$A:$E,COLUMN('1 b felosztások'!F:F),0)*$I277,0)</f>
        <v>0</v>
      </c>
      <c r="R277" s="150" cm="1">
        <f t="array" ref="R277">IFERROR(VLOOKUP($M277,'1 b felosztások'!$A:$E,COLUMN('1 b felosztások'!G:G),0)*$I277,0)</f>
        <v>0</v>
      </c>
      <c r="S277" s="150" cm="1">
        <f t="array" ref="S277">IFERROR(VLOOKUP($M277,'1 b felosztások'!$A:$E,COLUMN('1 b felosztások'!H:H),0)*$I277,0)</f>
        <v>0</v>
      </c>
      <c r="T277" s="150" cm="1">
        <f t="array" ref="T277">IFERROR(VLOOKUP($M277,'1 b felosztások'!$A:$E,COLUMN('1 b felosztások'!I:I),0)*$I277,0)</f>
        <v>0</v>
      </c>
      <c r="U277" s="150" cm="1">
        <f t="array" ref="U277">IFERROR(VLOOKUP($M277,'1 b felosztások'!$A:$E,COLUMN('1 b felosztások'!J:J),0)*$I277,0)</f>
        <v>0</v>
      </c>
      <c r="V277" s="150" cm="1">
        <f t="array" ref="V277">IFERROR(VLOOKUP($M277,'1 b felosztások'!$A:$E,COLUMN('1 b felosztások'!K:K),0)*$I277,0)</f>
        <v>0</v>
      </c>
      <c r="W277" s="150" cm="1">
        <f t="array" ref="W277">IFERROR(VLOOKUP($M277,'1 b felosztások'!$A:$E,COLUMN('1 b felosztások'!L:L),0)*$I277,0)</f>
        <v>0</v>
      </c>
      <c r="X277" s="150" cm="1">
        <f t="array" ref="X277">IFERROR(VLOOKUP($M277,'1 b felosztások'!$A:$E,COLUMN('1 b felosztások'!M:M),0)*$I277,0)</f>
        <v>0</v>
      </c>
      <c r="Y277" s="150" cm="1">
        <f t="array" ref="Y277">IFERROR(VLOOKUP($M277,'1 b felosztások'!$A:$E,COLUMN('1 b felosztások'!N:N),0)*$I277,0)</f>
        <v>0</v>
      </c>
      <c r="Z277" s="150" cm="1">
        <f t="array" ref="Z277">IFERROR(VLOOKUP($M277,'1 b felosztások'!$A:$E,COLUMN('1 b felosztások'!C:C),0)*$I277,0)</f>
        <v>0</v>
      </c>
      <c r="AA277" s="150" cm="1">
        <f t="array" ref="AA277">IFERROR(VLOOKUP($M277,'1 b felosztások'!$A:$E,COLUMN('1 b felosztások'!D:D),0)*$I277,0)</f>
        <v>0</v>
      </c>
      <c r="AB277" s="150" cm="1">
        <f t="array" ref="AB277">IFERROR(VLOOKUP($M277,'1 b felosztások'!$A:$E,COLUMN('1 b felosztások'!E:E),0)*$I277,0)</f>
        <v>0</v>
      </c>
      <c r="AC277" s="165"/>
      <c r="AD277" s="165"/>
      <c r="AE277" s="165"/>
      <c r="AF277" s="165"/>
      <c r="AG277" s="165"/>
      <c r="AH277" s="165"/>
      <c r="AI277" s="165"/>
      <c r="AJ277" s="165"/>
      <c r="AK277" s="165"/>
      <c r="AL277" s="165"/>
      <c r="AM277" s="165"/>
      <c r="AN277" s="165"/>
      <c r="AO277" s="165"/>
      <c r="AP277" s="165"/>
      <c r="AQ277" s="165"/>
      <c r="AR277" s="165"/>
      <c r="AS277" s="165"/>
      <c r="AT277" s="165"/>
      <c r="AU277" s="165"/>
      <c r="AV277" s="165"/>
      <c r="AW277" s="165"/>
      <c r="AX277" s="165"/>
      <c r="AY277" s="165"/>
      <c r="AZ277" s="165"/>
      <c r="BA277" s="165"/>
      <c r="BB277" s="165"/>
      <c r="BC277" s="167"/>
      <c r="BD277" s="167"/>
      <c r="BE277" s="167"/>
      <c r="BF277" s="167"/>
      <c r="BG277" s="167"/>
      <c r="BH277" s="167"/>
      <c r="BI277" s="167"/>
      <c r="BJ277" s="167"/>
      <c r="BK277" s="167">
        <f t="shared" si="231"/>
        <v>0</v>
      </c>
      <c r="BL277" s="167">
        <f t="shared" si="232"/>
        <v>0</v>
      </c>
      <c r="BM277" s="167">
        <f t="shared" si="233"/>
        <v>0</v>
      </c>
      <c r="BN277" s="167">
        <f t="shared" si="234"/>
        <v>0</v>
      </c>
    </row>
    <row r="278" spans="1:66" s="171" customFormat="1" ht="15.75" hidden="1" customHeight="1" outlineLevel="3" x14ac:dyDescent="0.3">
      <c r="A278" s="169"/>
      <c r="B278" s="169"/>
      <c r="C278" s="169"/>
      <c r="D278" s="169"/>
      <c r="E278" s="169" t="s">
        <v>2656</v>
      </c>
      <c r="F278" s="169" t="s">
        <v>64</v>
      </c>
      <c r="G278" s="186">
        <v>63</v>
      </c>
      <c r="H278" s="169" t="s">
        <v>3257</v>
      </c>
      <c r="I278" s="165"/>
      <c r="J278" s="165">
        <f t="shared" si="245"/>
        <v>0</v>
      </c>
      <c r="K278" s="150">
        <f t="shared" si="248"/>
        <v>0</v>
      </c>
      <c r="L278" s="150">
        <f t="shared" si="230"/>
        <v>0</v>
      </c>
      <c r="M278" s="166"/>
      <c r="N278" s="150"/>
      <c r="O278" s="150"/>
      <c r="P278" s="150"/>
      <c r="Q278" s="150"/>
      <c r="R278" s="150"/>
      <c r="S278" s="150"/>
      <c r="T278" s="150"/>
      <c r="U278" s="150"/>
      <c r="V278" s="150"/>
      <c r="W278" s="150"/>
      <c r="X278" s="150"/>
      <c r="Y278" s="150"/>
      <c r="Z278" s="150"/>
      <c r="AA278" s="150"/>
      <c r="AB278" s="150"/>
      <c r="AC278" s="150"/>
      <c r="AD278" s="150"/>
      <c r="AE278" s="150"/>
      <c r="AF278" s="150"/>
      <c r="AG278" s="150"/>
      <c r="AH278" s="150"/>
      <c r="AI278" s="150"/>
      <c r="AJ278" s="150"/>
      <c r="AK278" s="150"/>
      <c r="AL278" s="150"/>
      <c r="AM278" s="150"/>
      <c r="AN278" s="150"/>
      <c r="AO278" s="150"/>
      <c r="AP278" s="150"/>
      <c r="AQ278" s="150"/>
      <c r="AR278" s="150"/>
      <c r="AS278" s="150"/>
      <c r="AT278" s="150"/>
      <c r="AU278" s="150"/>
      <c r="AV278" s="150"/>
      <c r="AW278" s="150"/>
      <c r="AX278" s="150"/>
      <c r="AY278" s="150"/>
      <c r="AZ278" s="150"/>
      <c r="BA278" s="150"/>
      <c r="BB278" s="150"/>
      <c r="BC278" s="170"/>
      <c r="BD278" s="170"/>
      <c r="BE278" s="170"/>
      <c r="BF278" s="170"/>
      <c r="BG278" s="170"/>
      <c r="BH278" s="170"/>
      <c r="BI278" s="170"/>
      <c r="BJ278" s="170"/>
      <c r="BK278" s="167">
        <f t="shared" si="231"/>
        <v>0</v>
      </c>
      <c r="BL278" s="167">
        <f t="shared" si="232"/>
        <v>0</v>
      </c>
      <c r="BM278" s="167">
        <f t="shared" si="233"/>
        <v>0</v>
      </c>
      <c r="BN278" s="167">
        <f t="shared" si="234"/>
        <v>0</v>
      </c>
    </row>
    <row r="279" spans="1:66" s="171" customFormat="1" ht="15.75" hidden="1" customHeight="1" outlineLevel="3" x14ac:dyDescent="0.3">
      <c r="A279" s="169"/>
      <c r="B279" s="169"/>
      <c r="C279" s="169"/>
      <c r="D279" s="169"/>
      <c r="E279" s="169" t="s">
        <v>2656</v>
      </c>
      <c r="F279" s="169" t="s">
        <v>64</v>
      </c>
      <c r="G279" s="186">
        <v>64</v>
      </c>
      <c r="H279" s="169" t="s">
        <v>243</v>
      </c>
      <c r="I279" s="165"/>
      <c r="J279" s="165">
        <f t="shared" si="245"/>
        <v>0</v>
      </c>
      <c r="K279" s="150">
        <f t="shared" si="248"/>
        <v>0</v>
      </c>
      <c r="L279" s="150">
        <f t="shared" si="230"/>
        <v>0</v>
      </c>
      <c r="M279" s="166"/>
      <c r="N279" s="150"/>
      <c r="O279" s="150"/>
      <c r="P279" s="150"/>
      <c r="Q279" s="150"/>
      <c r="R279" s="150"/>
      <c r="S279" s="150"/>
      <c r="T279" s="150"/>
      <c r="U279" s="150"/>
      <c r="V279" s="150"/>
      <c r="W279" s="150"/>
      <c r="X279" s="150"/>
      <c r="Y279" s="150"/>
      <c r="Z279" s="150"/>
      <c r="AA279" s="150"/>
      <c r="AB279" s="150"/>
      <c r="AC279" s="150"/>
      <c r="AD279" s="150"/>
      <c r="AE279" s="150"/>
      <c r="AF279" s="150"/>
      <c r="AG279" s="150"/>
      <c r="AH279" s="150"/>
      <c r="AI279" s="150"/>
      <c r="AJ279" s="150"/>
      <c r="AK279" s="150"/>
      <c r="AL279" s="150"/>
      <c r="AM279" s="150"/>
      <c r="AN279" s="150"/>
      <c r="AO279" s="150"/>
      <c r="AP279" s="150"/>
      <c r="AQ279" s="150"/>
      <c r="AR279" s="150"/>
      <c r="AS279" s="150"/>
      <c r="AT279" s="150"/>
      <c r="AU279" s="150"/>
      <c r="AV279" s="150"/>
      <c r="AW279" s="150"/>
      <c r="AX279" s="150"/>
      <c r="AY279" s="150"/>
      <c r="AZ279" s="150"/>
      <c r="BA279" s="150"/>
      <c r="BB279" s="150"/>
      <c r="BC279" s="170"/>
      <c r="BD279" s="170"/>
      <c r="BE279" s="170"/>
      <c r="BF279" s="170"/>
      <c r="BG279" s="170"/>
      <c r="BH279" s="170"/>
      <c r="BI279" s="170"/>
      <c r="BJ279" s="170"/>
      <c r="BK279" s="167">
        <f t="shared" si="231"/>
        <v>0</v>
      </c>
      <c r="BL279" s="167">
        <f t="shared" si="232"/>
        <v>0</v>
      </c>
      <c r="BM279" s="167">
        <f t="shared" si="233"/>
        <v>0</v>
      </c>
      <c r="BN279" s="167">
        <f t="shared" si="234"/>
        <v>0</v>
      </c>
    </row>
    <row r="280" spans="1:66" s="171" customFormat="1" ht="15.75" hidden="1" customHeight="1" outlineLevel="3" x14ac:dyDescent="0.3">
      <c r="A280" s="169"/>
      <c r="B280" s="169"/>
      <c r="C280" s="169"/>
      <c r="D280" s="169"/>
      <c r="E280" s="169" t="s">
        <v>2656</v>
      </c>
      <c r="F280" s="169" t="s">
        <v>64</v>
      </c>
      <c r="G280" s="186">
        <v>92</v>
      </c>
      <c r="H280" s="169" t="s">
        <v>282</v>
      </c>
      <c r="I280" s="165"/>
      <c r="J280" s="165">
        <f t="shared" si="245"/>
        <v>0</v>
      </c>
      <c r="K280" s="150">
        <f t="shared" si="248"/>
        <v>0</v>
      </c>
      <c r="L280" s="150">
        <f t="shared" si="230"/>
        <v>0</v>
      </c>
      <c r="M280" s="166"/>
      <c r="N280" s="150"/>
      <c r="O280" s="150"/>
      <c r="P280" s="150"/>
      <c r="Q280" s="150"/>
      <c r="R280" s="150"/>
      <c r="S280" s="150"/>
      <c r="T280" s="150"/>
      <c r="U280" s="150"/>
      <c r="V280" s="150"/>
      <c r="W280" s="150"/>
      <c r="X280" s="150"/>
      <c r="Y280" s="150"/>
      <c r="Z280" s="150"/>
      <c r="AA280" s="150"/>
      <c r="AB280" s="150"/>
      <c r="AC280" s="150"/>
      <c r="AD280" s="150"/>
      <c r="AE280" s="150"/>
      <c r="AF280" s="150"/>
      <c r="AG280" s="150"/>
      <c r="AH280" s="150"/>
      <c r="AI280" s="150"/>
      <c r="AJ280" s="150"/>
      <c r="AK280" s="150"/>
      <c r="AL280" s="150"/>
      <c r="AM280" s="150"/>
      <c r="AN280" s="150"/>
      <c r="AO280" s="150"/>
      <c r="AP280" s="150"/>
      <c r="AQ280" s="150"/>
      <c r="AR280" s="150"/>
      <c r="AS280" s="150"/>
      <c r="AT280" s="150"/>
      <c r="AU280" s="150"/>
      <c r="AV280" s="150"/>
      <c r="AW280" s="150"/>
      <c r="AX280" s="150"/>
      <c r="AY280" s="150"/>
      <c r="AZ280" s="150"/>
      <c r="BA280" s="150"/>
      <c r="BB280" s="150"/>
      <c r="BC280" s="170"/>
      <c r="BD280" s="170"/>
      <c r="BE280" s="170"/>
      <c r="BF280" s="170"/>
      <c r="BG280" s="170"/>
      <c r="BH280" s="170"/>
      <c r="BI280" s="170"/>
      <c r="BJ280" s="170"/>
      <c r="BK280" s="167">
        <f t="shared" si="231"/>
        <v>0</v>
      </c>
      <c r="BL280" s="167">
        <f t="shared" si="232"/>
        <v>0</v>
      </c>
      <c r="BM280" s="167">
        <f t="shared" si="233"/>
        <v>0</v>
      </c>
      <c r="BN280" s="167">
        <f t="shared" si="234"/>
        <v>0</v>
      </c>
    </row>
    <row r="281" spans="1:66" s="171" customFormat="1" ht="15.75" hidden="1" customHeight="1" outlineLevel="3" x14ac:dyDescent="0.3">
      <c r="A281" s="169"/>
      <c r="B281" s="169"/>
      <c r="C281" s="169"/>
      <c r="D281" s="169"/>
      <c r="E281" s="169" t="s">
        <v>2656</v>
      </c>
      <c r="F281" s="169" t="s">
        <v>64</v>
      </c>
      <c r="G281" s="186">
        <v>142</v>
      </c>
      <c r="H281" s="169" t="s">
        <v>356</v>
      </c>
      <c r="I281" s="165"/>
      <c r="J281" s="165">
        <f t="shared" si="245"/>
        <v>0</v>
      </c>
      <c r="K281" s="150">
        <f t="shared" si="248"/>
        <v>0</v>
      </c>
      <c r="L281" s="150">
        <f t="shared" si="230"/>
        <v>0</v>
      </c>
      <c r="M281" s="166"/>
      <c r="N281" s="150"/>
      <c r="O281" s="150"/>
      <c r="P281" s="150"/>
      <c r="Q281" s="150"/>
      <c r="R281" s="150"/>
      <c r="S281" s="150"/>
      <c r="T281" s="150"/>
      <c r="U281" s="150"/>
      <c r="V281" s="150"/>
      <c r="W281" s="150"/>
      <c r="X281" s="150"/>
      <c r="Y281" s="150"/>
      <c r="Z281" s="150"/>
      <c r="AA281" s="150"/>
      <c r="AB281" s="150"/>
      <c r="AC281" s="150"/>
      <c r="AD281" s="150"/>
      <c r="AE281" s="150"/>
      <c r="AF281" s="150"/>
      <c r="AG281" s="150"/>
      <c r="AH281" s="150"/>
      <c r="AI281" s="150"/>
      <c r="AJ281" s="150"/>
      <c r="AK281" s="150"/>
      <c r="AL281" s="150"/>
      <c r="AM281" s="150"/>
      <c r="AN281" s="150"/>
      <c r="AO281" s="150"/>
      <c r="AP281" s="150"/>
      <c r="AQ281" s="150"/>
      <c r="AR281" s="150"/>
      <c r="AS281" s="150"/>
      <c r="AT281" s="150"/>
      <c r="AU281" s="150"/>
      <c r="AV281" s="150"/>
      <c r="AW281" s="150"/>
      <c r="AX281" s="150"/>
      <c r="AY281" s="150"/>
      <c r="AZ281" s="150"/>
      <c r="BA281" s="150"/>
      <c r="BB281" s="150"/>
      <c r="BC281" s="170"/>
      <c r="BD281" s="170"/>
      <c r="BE281" s="170"/>
      <c r="BF281" s="170"/>
      <c r="BG281" s="170"/>
      <c r="BH281" s="170"/>
      <c r="BI281" s="170"/>
      <c r="BJ281" s="170"/>
      <c r="BK281" s="167">
        <f t="shared" si="231"/>
        <v>0</v>
      </c>
      <c r="BL281" s="167">
        <f t="shared" si="232"/>
        <v>0</v>
      </c>
      <c r="BM281" s="167">
        <f t="shared" si="233"/>
        <v>0</v>
      </c>
      <c r="BN281" s="167">
        <f t="shared" si="234"/>
        <v>0</v>
      </c>
    </row>
    <row r="282" spans="1:66" s="168" customFormat="1" hidden="1" outlineLevel="2" collapsed="1" x14ac:dyDescent="0.3">
      <c r="A282" s="164" t="s">
        <v>47</v>
      </c>
      <c r="B282" s="164" t="s">
        <v>2728</v>
      </c>
      <c r="C282" s="164" t="s">
        <v>64</v>
      </c>
      <c r="D282" s="164" t="s">
        <v>2839</v>
      </c>
      <c r="E282" s="164" t="str">
        <f>VLOOKUP(A282,'Kiadások 2a SZH 2023'!A:B,2,0)</f>
        <v>Kari oktatási-kutatási gazda K3-K5 2022. évi tény (ITTNEMEI, kari kiválósági és üzemeltetés nélkül)</v>
      </c>
      <c r="F282" s="164" t="s">
        <v>2695</v>
      </c>
      <c r="G282" s="169"/>
      <c r="H282" s="164" t="s">
        <v>2617</v>
      </c>
      <c r="I282" s="165">
        <v>13222162</v>
      </c>
      <c r="J282" s="165">
        <f>SUM(N282:AH282)</f>
        <v>13222162.24</v>
      </c>
      <c r="K282" s="150">
        <f t="shared" si="248"/>
        <v>-0.24000000022351742</v>
      </c>
      <c r="L282" s="150">
        <f t="shared" si="230"/>
        <v>13222162.24</v>
      </c>
      <c r="M282" s="166"/>
      <c r="N282" s="165">
        <f>SUM(N283:N354)-1</f>
        <v>190499</v>
      </c>
      <c r="O282" s="165">
        <f t="shared" ref="O282:AL282" si="253">SUM(O283:O354)</f>
        <v>392000.47</v>
      </c>
      <c r="P282" s="165">
        <f t="shared" si="253"/>
        <v>0</v>
      </c>
      <c r="Q282" s="165">
        <f t="shared" si="253"/>
        <v>600000.07000000007</v>
      </c>
      <c r="R282" s="165">
        <f t="shared" si="253"/>
        <v>596900</v>
      </c>
      <c r="S282" s="165">
        <f t="shared" si="253"/>
        <v>229999.54</v>
      </c>
      <c r="T282" s="165">
        <f t="shared" si="253"/>
        <v>0</v>
      </c>
      <c r="U282" s="165">
        <f t="shared" si="253"/>
        <v>599999.80000000005</v>
      </c>
      <c r="V282" s="165">
        <f t="shared" si="253"/>
        <v>7710000.3600000003</v>
      </c>
      <c r="W282" s="165">
        <f t="shared" si="253"/>
        <v>457200</v>
      </c>
      <c r="X282" s="165">
        <f t="shared" si="253"/>
        <v>0</v>
      </c>
      <c r="Y282" s="165">
        <f t="shared" si="253"/>
        <v>141999.97</v>
      </c>
      <c r="Z282" s="165">
        <f t="shared" si="253"/>
        <v>460000.35</v>
      </c>
      <c r="AA282" s="165">
        <f t="shared" si="253"/>
        <v>1195320.19</v>
      </c>
      <c r="AB282" s="165">
        <f t="shared" si="253"/>
        <v>0</v>
      </c>
      <c r="AC282" s="165">
        <f t="shared" si="253"/>
        <v>648242.49</v>
      </c>
      <c r="AD282" s="165">
        <f t="shared" si="253"/>
        <v>0</v>
      </c>
      <c r="AE282" s="165">
        <f t="shared" si="253"/>
        <v>0</v>
      </c>
      <c r="AF282" s="165">
        <f t="shared" si="253"/>
        <v>0</v>
      </c>
      <c r="AG282" s="165">
        <f t="shared" si="253"/>
        <v>0</v>
      </c>
      <c r="AH282" s="165">
        <f t="shared" si="253"/>
        <v>0</v>
      </c>
      <c r="AI282" s="165">
        <f t="shared" si="253"/>
        <v>0</v>
      </c>
      <c r="AJ282" s="165">
        <f t="shared" si="253"/>
        <v>0</v>
      </c>
      <c r="AK282" s="165">
        <f t="shared" si="253"/>
        <v>0</v>
      </c>
      <c r="AL282" s="165">
        <f t="shared" si="253"/>
        <v>0</v>
      </c>
      <c r="AM282" s="165"/>
      <c r="AN282" s="165"/>
      <c r="AO282" s="165"/>
      <c r="AP282" s="165"/>
      <c r="AQ282" s="165"/>
      <c r="AR282" s="165"/>
      <c r="AS282" s="165"/>
      <c r="AT282" s="165"/>
      <c r="AU282" s="165"/>
      <c r="AV282" s="165"/>
      <c r="AW282" s="165"/>
      <c r="AX282" s="165"/>
      <c r="AY282" s="165"/>
      <c r="AZ282" s="165"/>
      <c r="BA282" s="165"/>
      <c r="BB282" s="165"/>
      <c r="BC282" s="167"/>
      <c r="BD282" s="167"/>
      <c r="BE282" s="167"/>
      <c r="BF282" s="167"/>
      <c r="BG282" s="167"/>
      <c r="BH282" s="167"/>
      <c r="BI282" s="167"/>
      <c r="BJ282" s="167"/>
      <c r="BK282" s="167">
        <f t="shared" si="231"/>
        <v>12573919.75</v>
      </c>
      <c r="BL282" s="167">
        <f t="shared" si="232"/>
        <v>0</v>
      </c>
      <c r="BM282" s="167">
        <f t="shared" si="233"/>
        <v>648242.49</v>
      </c>
      <c r="BN282" s="167">
        <f t="shared" si="234"/>
        <v>0</v>
      </c>
    </row>
    <row r="283" spans="1:66" s="168" customFormat="1" ht="15.75" hidden="1" customHeight="1" outlineLevel="3" x14ac:dyDescent="0.3">
      <c r="A283" s="164"/>
      <c r="B283" s="164"/>
      <c r="C283" s="164"/>
      <c r="D283" s="164"/>
      <c r="E283" s="164" t="s">
        <v>2658</v>
      </c>
      <c r="F283" s="164" t="s">
        <v>66</v>
      </c>
      <c r="G283" s="169"/>
      <c r="H283" s="164" t="s">
        <v>2590</v>
      </c>
      <c r="I283" s="178">
        <v>120447</v>
      </c>
      <c r="J283" s="165">
        <f t="shared" ref="J283:J346" si="254">SUM(N283:AH283)</f>
        <v>120447</v>
      </c>
      <c r="K283" s="150">
        <f>+I283-J283</f>
        <v>0</v>
      </c>
      <c r="L283" s="150">
        <f t="shared" si="230"/>
        <v>120447</v>
      </c>
      <c r="M283" s="166"/>
      <c r="N283" s="150"/>
      <c r="O283" s="150"/>
      <c r="P283" s="150"/>
      <c r="Q283" s="150"/>
      <c r="R283" s="150"/>
      <c r="S283" s="150"/>
      <c r="T283" s="150"/>
      <c r="U283" s="150"/>
      <c r="V283" s="150"/>
      <c r="W283" s="150"/>
      <c r="X283" s="150"/>
      <c r="Y283" s="150"/>
      <c r="Z283" s="165"/>
      <c r="AA283" s="165"/>
      <c r="AB283" s="165"/>
      <c r="AC283" s="165">
        <v>120447</v>
      </c>
      <c r="AD283" s="165"/>
      <c r="AE283" s="165"/>
      <c r="AF283" s="165"/>
      <c r="AG283" s="165"/>
      <c r="AH283" s="165"/>
      <c r="AI283" s="165"/>
      <c r="AJ283" s="165"/>
      <c r="AK283" s="165"/>
      <c r="AL283" s="165"/>
      <c r="AM283" s="165"/>
      <c r="AN283" s="165"/>
      <c r="AO283" s="165"/>
      <c r="AP283" s="165"/>
      <c r="AQ283" s="165"/>
      <c r="AR283" s="165"/>
      <c r="AS283" s="165"/>
      <c r="AT283" s="165"/>
      <c r="AU283" s="165"/>
      <c r="AV283" s="165"/>
      <c r="AW283" s="165"/>
      <c r="AX283" s="165"/>
      <c r="AY283" s="165"/>
      <c r="AZ283" s="165"/>
      <c r="BA283" s="165"/>
      <c r="BB283" s="165"/>
      <c r="BC283" s="167"/>
      <c r="BD283" s="167"/>
      <c r="BE283" s="167"/>
      <c r="BF283" s="167"/>
      <c r="BG283" s="167"/>
      <c r="BH283" s="167"/>
      <c r="BI283" s="167"/>
      <c r="BJ283" s="167"/>
      <c r="BK283" s="167">
        <f t="shared" si="231"/>
        <v>0</v>
      </c>
      <c r="BL283" s="167">
        <f t="shared" si="232"/>
        <v>0</v>
      </c>
      <c r="BM283" s="167">
        <f t="shared" si="233"/>
        <v>120447</v>
      </c>
      <c r="BN283" s="167">
        <f t="shared" si="234"/>
        <v>0</v>
      </c>
    </row>
    <row r="284" spans="1:66" s="168" customFormat="1" ht="15.75" hidden="1" customHeight="1" outlineLevel="3" x14ac:dyDescent="0.3">
      <c r="A284" s="164"/>
      <c r="B284" s="164"/>
      <c r="C284" s="164"/>
      <c r="D284" s="164"/>
      <c r="E284" s="164" t="s">
        <v>2657</v>
      </c>
      <c r="F284" s="164" t="s">
        <v>64</v>
      </c>
      <c r="G284" s="169"/>
      <c r="H284" s="164" t="s">
        <v>2620</v>
      </c>
      <c r="I284" s="178"/>
      <c r="J284" s="165">
        <f t="shared" si="254"/>
        <v>0</v>
      </c>
      <c r="K284" s="150">
        <f t="shared" si="248"/>
        <v>0</v>
      </c>
      <c r="L284" s="150">
        <f t="shared" si="230"/>
        <v>0</v>
      </c>
      <c r="M284" s="166"/>
      <c r="N284" s="150"/>
      <c r="O284" s="150"/>
      <c r="P284" s="150"/>
      <c r="Q284" s="150"/>
      <c r="R284" s="150"/>
      <c r="S284" s="150"/>
      <c r="T284" s="150"/>
      <c r="U284" s="150"/>
      <c r="V284" s="150"/>
      <c r="W284" s="150"/>
      <c r="X284" s="150"/>
      <c r="Y284" s="150"/>
      <c r="Z284" s="165"/>
      <c r="AA284" s="165"/>
      <c r="AB284" s="165"/>
      <c r="AC284" s="165"/>
      <c r="AD284" s="165"/>
      <c r="AE284" s="165"/>
      <c r="AF284" s="165"/>
      <c r="AG284" s="165"/>
      <c r="AH284" s="165"/>
      <c r="AI284" s="165"/>
      <c r="AJ284" s="165"/>
      <c r="AK284" s="165"/>
      <c r="AL284" s="165"/>
      <c r="AM284" s="165"/>
      <c r="AN284" s="165"/>
      <c r="AO284" s="165"/>
      <c r="AP284" s="165"/>
      <c r="AQ284" s="165"/>
      <c r="AR284" s="165"/>
      <c r="AS284" s="165"/>
      <c r="AT284" s="165"/>
      <c r="AU284" s="165"/>
      <c r="AV284" s="165"/>
      <c r="AW284" s="165"/>
      <c r="AX284" s="165"/>
      <c r="AY284" s="165"/>
      <c r="AZ284" s="165"/>
      <c r="BA284" s="165"/>
      <c r="BB284" s="165"/>
      <c r="BC284" s="167"/>
      <c r="BD284" s="167"/>
      <c r="BE284" s="167"/>
      <c r="BF284" s="167"/>
      <c r="BG284" s="167"/>
      <c r="BH284" s="167"/>
      <c r="BI284" s="167"/>
      <c r="BJ284" s="167"/>
      <c r="BK284" s="167">
        <f t="shared" si="231"/>
        <v>0</v>
      </c>
      <c r="BL284" s="167">
        <f t="shared" si="232"/>
        <v>0</v>
      </c>
      <c r="BM284" s="167">
        <f t="shared" si="233"/>
        <v>0</v>
      </c>
      <c r="BN284" s="167">
        <f t="shared" si="234"/>
        <v>0</v>
      </c>
    </row>
    <row r="285" spans="1:66" s="171" customFormat="1" ht="15.75" hidden="1" customHeight="1" outlineLevel="3" x14ac:dyDescent="0.3">
      <c r="A285" s="169"/>
      <c r="B285" s="169"/>
      <c r="C285" s="169"/>
      <c r="D285" s="169"/>
      <c r="E285" s="169" t="s">
        <v>2589</v>
      </c>
      <c r="F285" s="169" t="s">
        <v>64</v>
      </c>
      <c r="G285" s="169">
        <v>67</v>
      </c>
      <c r="H285" s="169" t="s">
        <v>249</v>
      </c>
      <c r="I285" s="303">
        <f>+J285</f>
        <v>0</v>
      </c>
      <c r="J285" s="165">
        <f t="shared" si="254"/>
        <v>0</v>
      </c>
      <c r="K285" s="150">
        <f t="shared" si="248"/>
        <v>0</v>
      </c>
      <c r="L285" s="150">
        <f t="shared" si="230"/>
        <v>0</v>
      </c>
      <c r="M285" s="166"/>
      <c r="N285" s="150"/>
      <c r="O285" s="150"/>
      <c r="P285" s="150"/>
      <c r="Q285" s="150"/>
      <c r="R285" s="150"/>
      <c r="S285" s="150"/>
      <c r="T285" s="150"/>
      <c r="U285" s="150"/>
      <c r="V285" s="150"/>
      <c r="W285" s="150"/>
      <c r="X285" s="150"/>
      <c r="Y285" s="150"/>
      <c r="Z285" s="150"/>
      <c r="AA285" s="150"/>
      <c r="AB285" s="150"/>
      <c r="AC285" s="150"/>
      <c r="AD285" s="150"/>
      <c r="AE285" s="150"/>
      <c r="AF285" s="150"/>
      <c r="AG285" s="150"/>
      <c r="AH285" s="150"/>
      <c r="AI285" s="150"/>
      <c r="AJ285" s="150"/>
      <c r="AK285" s="150"/>
      <c r="AL285" s="150"/>
      <c r="AM285" s="150"/>
      <c r="AN285" s="150"/>
      <c r="AP285" s="150"/>
      <c r="AQ285" s="150"/>
      <c r="AR285" s="150"/>
      <c r="AS285" s="150"/>
      <c r="AT285" s="150"/>
      <c r="AU285" s="150"/>
      <c r="AV285" s="150"/>
      <c r="AW285" s="150"/>
      <c r="AX285" s="150"/>
      <c r="AY285" s="150"/>
      <c r="AZ285" s="150"/>
      <c r="BA285" s="150"/>
      <c r="BB285" s="150"/>
      <c r="BC285" s="170"/>
      <c r="BD285" s="170"/>
      <c r="BE285" s="170"/>
      <c r="BF285" s="170"/>
      <c r="BG285" s="170"/>
      <c r="BH285" s="170"/>
      <c r="BI285" s="170"/>
      <c r="BJ285" s="170"/>
      <c r="BK285" s="167">
        <f t="shared" si="231"/>
        <v>0</v>
      </c>
      <c r="BL285" s="167">
        <f t="shared" si="232"/>
        <v>0</v>
      </c>
      <c r="BM285" s="167">
        <f t="shared" si="233"/>
        <v>0</v>
      </c>
      <c r="BN285" s="167">
        <f t="shared" si="234"/>
        <v>0</v>
      </c>
    </row>
    <row r="286" spans="1:66" s="171" customFormat="1" ht="15.75" hidden="1" customHeight="1" outlineLevel="3" x14ac:dyDescent="0.3">
      <c r="A286" s="169"/>
      <c r="B286" s="169"/>
      <c r="C286" s="169"/>
      <c r="D286" s="169"/>
      <c r="E286" s="169" t="s">
        <v>2589</v>
      </c>
      <c r="F286" s="169" t="s">
        <v>64</v>
      </c>
      <c r="G286" s="169">
        <v>68</v>
      </c>
      <c r="H286" s="169" t="s">
        <v>251</v>
      </c>
      <c r="I286" s="303">
        <f t="shared" ref="I286:I349" si="255">+J286</f>
        <v>0</v>
      </c>
      <c r="J286" s="165">
        <f t="shared" si="254"/>
        <v>0</v>
      </c>
      <c r="K286" s="150">
        <f t="shared" si="248"/>
        <v>0</v>
      </c>
      <c r="L286" s="150">
        <f t="shared" si="230"/>
        <v>0</v>
      </c>
      <c r="M286" s="166"/>
      <c r="N286" s="150"/>
      <c r="O286" s="150"/>
      <c r="P286" s="150"/>
      <c r="Q286" s="150"/>
      <c r="R286" s="150"/>
      <c r="S286" s="150"/>
      <c r="T286" s="150"/>
      <c r="U286" s="150"/>
      <c r="V286" s="150"/>
      <c r="W286" s="150"/>
      <c r="X286" s="150"/>
      <c r="Y286" s="150"/>
      <c r="Z286" s="150"/>
      <c r="AA286" s="150"/>
      <c r="AB286" s="150"/>
      <c r="AC286" s="150"/>
      <c r="AD286" s="150"/>
      <c r="AE286" s="150"/>
      <c r="AF286" s="150"/>
      <c r="AG286" s="150"/>
      <c r="AH286" s="150"/>
      <c r="AI286" s="150"/>
      <c r="AJ286" s="150"/>
      <c r="AK286" s="150"/>
      <c r="AL286" s="150"/>
      <c r="AM286" s="150"/>
      <c r="AN286" s="150"/>
      <c r="AO286" s="150"/>
      <c r="AP286" s="150"/>
      <c r="AQ286" s="150"/>
      <c r="AR286" s="150"/>
      <c r="AS286" s="150"/>
      <c r="AT286" s="150"/>
      <c r="AU286" s="150"/>
      <c r="AV286" s="150"/>
      <c r="AW286" s="150"/>
      <c r="AX286" s="150"/>
      <c r="AY286" s="150"/>
      <c r="AZ286" s="150"/>
      <c r="BA286" s="150"/>
      <c r="BB286" s="150"/>
      <c r="BC286" s="170"/>
      <c r="BD286" s="170"/>
      <c r="BE286" s="170"/>
      <c r="BF286" s="170"/>
      <c r="BG286" s="170"/>
      <c r="BH286" s="170"/>
      <c r="BI286" s="170"/>
      <c r="BJ286" s="170"/>
      <c r="BK286" s="167">
        <f t="shared" si="231"/>
        <v>0</v>
      </c>
      <c r="BL286" s="167">
        <f t="shared" si="232"/>
        <v>0</v>
      </c>
      <c r="BM286" s="167">
        <f>+SUM(AC286:AO286)</f>
        <v>0</v>
      </c>
      <c r="BN286" s="167">
        <f t="shared" si="234"/>
        <v>0</v>
      </c>
    </row>
    <row r="287" spans="1:66" s="171" customFormat="1" ht="15.75" hidden="1" customHeight="1" outlineLevel="3" x14ac:dyDescent="0.3">
      <c r="A287" s="169"/>
      <c r="B287" s="169"/>
      <c r="C287" s="169"/>
      <c r="D287" s="169"/>
      <c r="E287" s="169" t="s">
        <v>2589</v>
      </c>
      <c r="F287" s="169" t="s">
        <v>64</v>
      </c>
      <c r="G287" s="169">
        <v>69</v>
      </c>
      <c r="H287" s="169" t="s">
        <v>252</v>
      </c>
      <c r="I287" s="303">
        <f t="shared" si="255"/>
        <v>3135276</v>
      </c>
      <c r="J287" s="165">
        <f t="shared" si="254"/>
        <v>3135276</v>
      </c>
      <c r="K287" s="150">
        <f t="shared" si="248"/>
        <v>0</v>
      </c>
      <c r="L287" s="150">
        <f t="shared" si="230"/>
        <v>3135276</v>
      </c>
      <c r="M287" s="166"/>
      <c r="N287" s="150">
        <v>100000</v>
      </c>
      <c r="O287" s="150">
        <v>40000</v>
      </c>
      <c r="P287" s="150"/>
      <c r="Q287" s="150"/>
      <c r="R287" s="150">
        <v>200000</v>
      </c>
      <c r="S287" s="150"/>
      <c r="T287" s="150"/>
      <c r="U287" s="150"/>
      <c r="V287" s="150">
        <v>2795276</v>
      </c>
      <c r="W287" s="150"/>
      <c r="X287" s="150"/>
      <c r="Y287" s="150"/>
      <c r="Z287" s="150"/>
      <c r="AA287" s="150"/>
      <c r="AB287" s="150"/>
      <c r="AC287" s="150"/>
      <c r="AD287" s="150"/>
      <c r="AE287" s="150"/>
      <c r="AF287" s="150"/>
      <c r="AG287" s="150"/>
      <c r="AH287" s="150"/>
      <c r="AI287" s="150"/>
      <c r="AJ287" s="150"/>
      <c r="AK287" s="150"/>
      <c r="AL287" s="150"/>
      <c r="AM287" s="150"/>
      <c r="AN287" s="150"/>
      <c r="AO287" s="150"/>
      <c r="AP287" s="150"/>
      <c r="AQ287" s="150"/>
      <c r="AR287" s="150"/>
      <c r="AS287" s="150"/>
      <c r="AT287" s="150"/>
      <c r="AU287" s="150"/>
      <c r="AV287" s="150"/>
      <c r="AW287" s="150"/>
      <c r="AX287" s="150"/>
      <c r="AY287" s="150"/>
      <c r="AZ287" s="150"/>
      <c r="BA287" s="150"/>
      <c r="BB287" s="150"/>
      <c r="BC287" s="170"/>
      <c r="BD287" s="170"/>
      <c r="BE287" s="170"/>
      <c r="BF287" s="170"/>
      <c r="BG287" s="170"/>
      <c r="BH287" s="170"/>
      <c r="BI287" s="170"/>
      <c r="BJ287" s="170"/>
      <c r="BK287" s="167">
        <f t="shared" si="231"/>
        <v>3135276</v>
      </c>
      <c r="BL287" s="167">
        <f t="shared" si="232"/>
        <v>0</v>
      </c>
      <c r="BM287" s="167">
        <f t="shared" si="233"/>
        <v>0</v>
      </c>
      <c r="BN287" s="167">
        <f t="shared" si="234"/>
        <v>0</v>
      </c>
    </row>
    <row r="288" spans="1:66" s="171" customFormat="1" ht="15.75" hidden="1" customHeight="1" outlineLevel="3" x14ac:dyDescent="0.3">
      <c r="A288" s="169"/>
      <c r="B288" s="169"/>
      <c r="C288" s="169"/>
      <c r="D288" s="169"/>
      <c r="E288" s="169" t="s">
        <v>2589</v>
      </c>
      <c r="F288" s="169" t="s">
        <v>64</v>
      </c>
      <c r="G288" s="169">
        <v>70</v>
      </c>
      <c r="H288" s="169" t="s">
        <v>253</v>
      </c>
      <c r="I288" s="303">
        <f t="shared" si="255"/>
        <v>78740</v>
      </c>
      <c r="J288" s="165">
        <f t="shared" si="254"/>
        <v>78740</v>
      </c>
      <c r="K288" s="150">
        <f t="shared" si="248"/>
        <v>0</v>
      </c>
      <c r="L288" s="150">
        <f t="shared" si="230"/>
        <v>78740</v>
      </c>
      <c r="M288" s="166"/>
      <c r="N288" s="150"/>
      <c r="O288" s="150"/>
      <c r="P288" s="150"/>
      <c r="Q288" s="150"/>
      <c r="R288" s="150"/>
      <c r="S288" s="150"/>
      <c r="T288" s="150"/>
      <c r="U288" s="150"/>
      <c r="V288" s="150">
        <v>78740</v>
      </c>
      <c r="W288" s="150"/>
      <c r="X288" s="150"/>
      <c r="Y288" s="150"/>
      <c r="Z288" s="150"/>
      <c r="AA288" s="150"/>
      <c r="AB288" s="150"/>
      <c r="AC288" s="150"/>
      <c r="AD288" s="150"/>
      <c r="AE288" s="150"/>
      <c r="AF288" s="150"/>
      <c r="AG288" s="150"/>
      <c r="AH288" s="150"/>
      <c r="AI288" s="150"/>
      <c r="AJ288" s="150"/>
      <c r="AK288" s="150"/>
      <c r="AL288" s="150"/>
      <c r="AM288" s="150"/>
      <c r="AN288" s="150"/>
      <c r="AO288" s="150"/>
      <c r="AP288" s="150"/>
      <c r="AQ288" s="150"/>
      <c r="AR288" s="150"/>
      <c r="AS288" s="150"/>
      <c r="AT288" s="150"/>
      <c r="AU288" s="150"/>
      <c r="AV288" s="150"/>
      <c r="AW288" s="150"/>
      <c r="AX288" s="150"/>
      <c r="AY288" s="150"/>
      <c r="AZ288" s="150"/>
      <c r="BA288" s="150"/>
      <c r="BB288" s="150"/>
      <c r="BC288" s="170"/>
      <c r="BD288" s="170"/>
      <c r="BE288" s="170"/>
      <c r="BF288" s="170"/>
      <c r="BG288" s="170"/>
      <c r="BH288" s="170"/>
      <c r="BI288" s="170"/>
      <c r="BJ288" s="170"/>
      <c r="BK288" s="167">
        <f t="shared" si="231"/>
        <v>78740</v>
      </c>
      <c r="BL288" s="167">
        <f t="shared" si="232"/>
        <v>0</v>
      </c>
      <c r="BM288" s="167">
        <f t="shared" si="233"/>
        <v>0</v>
      </c>
      <c r="BN288" s="167">
        <f t="shared" si="234"/>
        <v>0</v>
      </c>
    </row>
    <row r="289" spans="1:66" s="171" customFormat="1" ht="15.75" hidden="1" customHeight="1" outlineLevel="3" x14ac:dyDescent="0.3">
      <c r="A289" s="169"/>
      <c r="B289" s="169"/>
      <c r="C289" s="169"/>
      <c r="D289" s="169"/>
      <c r="E289" s="169" t="s">
        <v>2589</v>
      </c>
      <c r="F289" s="169" t="s">
        <v>64</v>
      </c>
      <c r="G289" s="169">
        <v>71</v>
      </c>
      <c r="H289" s="169" t="s">
        <v>254</v>
      </c>
      <c r="I289" s="303">
        <f t="shared" si="255"/>
        <v>0</v>
      </c>
      <c r="J289" s="165">
        <f t="shared" si="254"/>
        <v>0</v>
      </c>
      <c r="K289" s="150">
        <f t="shared" si="248"/>
        <v>0</v>
      </c>
      <c r="L289" s="150">
        <f t="shared" si="230"/>
        <v>0</v>
      </c>
      <c r="M289" s="166"/>
      <c r="N289" s="150"/>
      <c r="O289" s="150"/>
      <c r="P289" s="150"/>
      <c r="Q289" s="150"/>
      <c r="R289" s="150"/>
      <c r="S289" s="150"/>
      <c r="T289" s="150"/>
      <c r="U289" s="150"/>
      <c r="V289" s="150"/>
      <c r="W289" s="150"/>
      <c r="X289" s="150"/>
      <c r="Y289" s="150"/>
      <c r="Z289" s="150"/>
      <c r="AA289" s="150"/>
      <c r="AB289" s="150"/>
      <c r="AC289" s="150"/>
      <c r="AD289" s="150"/>
      <c r="AE289" s="150"/>
      <c r="AF289" s="150"/>
      <c r="AG289" s="150"/>
      <c r="AH289" s="150"/>
      <c r="AI289" s="150"/>
      <c r="AJ289" s="150"/>
      <c r="AK289" s="150"/>
      <c r="AL289" s="150"/>
      <c r="AM289" s="150"/>
      <c r="AN289" s="150"/>
      <c r="AO289" s="150"/>
      <c r="AP289" s="150"/>
      <c r="AQ289" s="150"/>
      <c r="AR289" s="150"/>
      <c r="AS289" s="150"/>
      <c r="AT289" s="150"/>
      <c r="AU289" s="150"/>
      <c r="AV289" s="150"/>
      <c r="AW289" s="150"/>
      <c r="AX289" s="150"/>
      <c r="AY289" s="150"/>
      <c r="AZ289" s="150"/>
      <c r="BA289" s="150"/>
      <c r="BB289" s="150"/>
      <c r="BC289" s="170"/>
      <c r="BD289" s="170"/>
      <c r="BE289" s="170"/>
      <c r="BF289" s="170"/>
      <c r="BG289" s="170"/>
      <c r="BH289" s="170"/>
      <c r="BI289" s="170"/>
      <c r="BJ289" s="170"/>
      <c r="BK289" s="167">
        <f t="shared" si="231"/>
        <v>0</v>
      </c>
      <c r="BL289" s="167">
        <f t="shared" si="232"/>
        <v>0</v>
      </c>
      <c r="BM289" s="167">
        <f t="shared" si="233"/>
        <v>0</v>
      </c>
      <c r="BN289" s="167">
        <f t="shared" si="234"/>
        <v>0</v>
      </c>
    </row>
    <row r="290" spans="1:66" s="171" customFormat="1" ht="15.75" hidden="1" customHeight="1" outlineLevel="3" x14ac:dyDescent="0.3">
      <c r="A290" s="169"/>
      <c r="B290" s="169"/>
      <c r="C290" s="169"/>
      <c r="D290" s="169"/>
      <c r="E290" s="169" t="s">
        <v>2589</v>
      </c>
      <c r="F290" s="169" t="s">
        <v>64</v>
      </c>
      <c r="G290" s="169">
        <v>73</v>
      </c>
      <c r="H290" s="169" t="s">
        <v>257</v>
      </c>
      <c r="I290" s="303">
        <f t="shared" si="255"/>
        <v>389212</v>
      </c>
      <c r="J290" s="165">
        <f t="shared" si="254"/>
        <v>389212</v>
      </c>
      <c r="K290" s="150">
        <f t="shared" si="248"/>
        <v>0</v>
      </c>
      <c r="L290" s="150">
        <f t="shared" si="230"/>
        <v>389212</v>
      </c>
      <c r="M290" s="166"/>
      <c r="N290" s="150"/>
      <c r="O290" s="150">
        <v>30000</v>
      </c>
      <c r="P290" s="150"/>
      <c r="Q290" s="150">
        <v>78740</v>
      </c>
      <c r="R290" s="150"/>
      <c r="S290" s="150"/>
      <c r="T290" s="150"/>
      <c r="U290" s="150">
        <v>78740</v>
      </c>
      <c r="V290" s="150">
        <v>23622</v>
      </c>
      <c r="W290" s="150">
        <v>60000</v>
      </c>
      <c r="X290" s="150"/>
      <c r="Y290" s="150">
        <v>78740</v>
      </c>
      <c r="Z290" s="150">
        <v>39370</v>
      </c>
      <c r="AA290" s="150"/>
      <c r="AB290" s="150"/>
      <c r="AC290" s="150"/>
      <c r="AD290" s="150"/>
      <c r="AE290" s="150"/>
      <c r="AF290" s="150"/>
      <c r="AG290" s="150"/>
      <c r="AH290" s="150"/>
      <c r="AI290" s="150"/>
      <c r="AJ290" s="150"/>
      <c r="AK290" s="150"/>
      <c r="AL290" s="150"/>
      <c r="AM290" s="150"/>
      <c r="AN290" s="150"/>
      <c r="AO290" s="150"/>
      <c r="AP290" s="150"/>
      <c r="AQ290" s="150"/>
      <c r="AR290" s="150"/>
      <c r="AS290" s="150"/>
      <c r="AT290" s="150"/>
      <c r="AU290" s="150"/>
      <c r="AV290" s="150"/>
      <c r="AW290" s="150"/>
      <c r="AX290" s="150"/>
      <c r="AY290" s="150"/>
      <c r="AZ290" s="150"/>
      <c r="BA290" s="150"/>
      <c r="BB290" s="150"/>
      <c r="BC290" s="170"/>
      <c r="BD290" s="170"/>
      <c r="BE290" s="170"/>
      <c r="BF290" s="170"/>
      <c r="BG290" s="170"/>
      <c r="BH290" s="170"/>
      <c r="BI290" s="170"/>
      <c r="BJ290" s="170"/>
      <c r="BK290" s="167">
        <f t="shared" si="231"/>
        <v>389212</v>
      </c>
      <c r="BL290" s="167">
        <f t="shared" si="232"/>
        <v>0</v>
      </c>
      <c r="BM290" s="167">
        <f t="shared" si="233"/>
        <v>0</v>
      </c>
      <c r="BN290" s="167">
        <f t="shared" si="234"/>
        <v>0</v>
      </c>
    </row>
    <row r="291" spans="1:66" s="171" customFormat="1" ht="15.75" hidden="1" customHeight="1" outlineLevel="3" x14ac:dyDescent="0.3">
      <c r="A291" s="169"/>
      <c r="B291" s="169"/>
      <c r="C291" s="169"/>
      <c r="D291" s="169"/>
      <c r="E291" s="169" t="s">
        <v>2589</v>
      </c>
      <c r="F291" s="169" t="s">
        <v>64</v>
      </c>
      <c r="G291" s="169">
        <v>74</v>
      </c>
      <c r="H291" s="169" t="s">
        <v>259</v>
      </c>
      <c r="I291" s="303">
        <f t="shared" si="255"/>
        <v>0</v>
      </c>
      <c r="J291" s="165">
        <f t="shared" si="254"/>
        <v>0</v>
      </c>
      <c r="K291" s="150">
        <f t="shared" si="248"/>
        <v>0</v>
      </c>
      <c r="L291" s="150">
        <f t="shared" ref="L291:L322" si="256">SUM(N291:BJ291)</f>
        <v>0</v>
      </c>
      <c r="M291" s="166"/>
      <c r="N291" s="150"/>
      <c r="O291" s="150"/>
      <c r="P291" s="150"/>
      <c r="Q291" s="150"/>
      <c r="R291" s="150"/>
      <c r="S291" s="150"/>
      <c r="T291" s="150"/>
      <c r="U291" s="150"/>
      <c r="V291" s="150"/>
      <c r="W291" s="150"/>
      <c r="X291" s="150"/>
      <c r="Y291" s="150"/>
      <c r="Z291" s="150"/>
      <c r="AA291" s="150"/>
      <c r="AB291" s="150"/>
      <c r="AC291" s="150"/>
      <c r="AD291" s="150"/>
      <c r="AE291" s="150"/>
      <c r="AF291" s="150"/>
      <c r="AG291" s="150"/>
      <c r="AH291" s="150"/>
      <c r="AI291" s="150"/>
      <c r="AJ291" s="150"/>
      <c r="AK291" s="150"/>
      <c r="AL291" s="150"/>
      <c r="AM291" s="150"/>
      <c r="AN291" s="150"/>
      <c r="AO291" s="150"/>
      <c r="AP291" s="150"/>
      <c r="AQ291" s="150"/>
      <c r="AR291" s="150"/>
      <c r="AS291" s="150"/>
      <c r="AT291" s="150"/>
      <c r="AU291" s="150"/>
      <c r="AV291" s="150"/>
      <c r="AW291" s="150"/>
      <c r="AX291" s="150"/>
      <c r="AY291" s="150"/>
      <c r="AZ291" s="150"/>
      <c r="BA291" s="150"/>
      <c r="BB291" s="150"/>
      <c r="BC291" s="170"/>
      <c r="BD291" s="170"/>
      <c r="BE291" s="170"/>
      <c r="BF291" s="170"/>
      <c r="BG291" s="170"/>
      <c r="BH291" s="170"/>
      <c r="BI291" s="170"/>
      <c r="BJ291" s="170"/>
      <c r="BK291" s="167">
        <f t="shared" si="231"/>
        <v>0</v>
      </c>
      <c r="BL291" s="167">
        <f t="shared" si="232"/>
        <v>0</v>
      </c>
      <c r="BM291" s="167">
        <f t="shared" si="233"/>
        <v>0</v>
      </c>
      <c r="BN291" s="167">
        <f t="shared" si="234"/>
        <v>0</v>
      </c>
    </row>
    <row r="292" spans="1:66" s="171" customFormat="1" ht="15.75" hidden="1" customHeight="1" outlineLevel="3" x14ac:dyDescent="0.3">
      <c r="A292" s="169"/>
      <c r="B292" s="169"/>
      <c r="C292" s="169"/>
      <c r="D292" s="169"/>
      <c r="E292" s="169" t="s">
        <v>2589</v>
      </c>
      <c r="F292" s="169" t="s">
        <v>64</v>
      </c>
      <c r="G292" s="169">
        <v>75</v>
      </c>
      <c r="H292" s="169" t="s">
        <v>260</v>
      </c>
      <c r="I292" s="303">
        <f t="shared" si="255"/>
        <v>0</v>
      </c>
      <c r="J292" s="165">
        <f t="shared" si="254"/>
        <v>0</v>
      </c>
      <c r="K292" s="150">
        <f t="shared" si="248"/>
        <v>0</v>
      </c>
      <c r="L292" s="150">
        <f t="shared" si="256"/>
        <v>0</v>
      </c>
      <c r="M292" s="166"/>
      <c r="N292" s="150"/>
      <c r="O292" s="150"/>
      <c r="P292" s="150"/>
      <c r="Q292" s="150"/>
      <c r="R292" s="150"/>
      <c r="S292" s="150"/>
      <c r="T292" s="150"/>
      <c r="U292" s="150"/>
      <c r="V292" s="150"/>
      <c r="W292" s="150"/>
      <c r="X292" s="150"/>
      <c r="Y292" s="150"/>
      <c r="Z292" s="150"/>
      <c r="AA292" s="150"/>
      <c r="AB292" s="150"/>
      <c r="AC292" s="150"/>
      <c r="AD292" s="150"/>
      <c r="AE292" s="150"/>
      <c r="AF292" s="150"/>
      <c r="AG292" s="150"/>
      <c r="AH292" s="150"/>
      <c r="AI292" s="150"/>
      <c r="AJ292" s="150"/>
      <c r="AK292" s="150"/>
      <c r="AL292" s="150"/>
      <c r="AM292" s="150"/>
      <c r="AN292" s="150"/>
      <c r="AO292" s="150"/>
      <c r="AP292" s="150"/>
      <c r="AQ292" s="150"/>
      <c r="AR292" s="150"/>
      <c r="AS292" s="150"/>
      <c r="AT292" s="150"/>
      <c r="AU292" s="150"/>
      <c r="AV292" s="150"/>
      <c r="AW292" s="150"/>
      <c r="AX292" s="150"/>
      <c r="AY292" s="150"/>
      <c r="AZ292" s="150"/>
      <c r="BA292" s="150"/>
      <c r="BB292" s="150"/>
      <c r="BC292" s="170"/>
      <c r="BD292" s="170"/>
      <c r="BE292" s="170"/>
      <c r="BF292" s="170"/>
      <c r="BG292" s="170"/>
      <c r="BH292" s="170"/>
      <c r="BI292" s="170"/>
      <c r="BJ292" s="170"/>
      <c r="BK292" s="167">
        <f t="shared" si="231"/>
        <v>0</v>
      </c>
      <c r="BL292" s="167">
        <f t="shared" si="232"/>
        <v>0</v>
      </c>
      <c r="BM292" s="167">
        <f t="shared" si="233"/>
        <v>0</v>
      </c>
      <c r="BN292" s="167">
        <f t="shared" si="234"/>
        <v>0</v>
      </c>
    </row>
    <row r="293" spans="1:66" s="171" customFormat="1" ht="15.75" hidden="1" customHeight="1" outlineLevel="3" x14ac:dyDescent="0.3">
      <c r="A293" s="169"/>
      <c r="B293" s="169"/>
      <c r="C293" s="169"/>
      <c r="D293" s="169"/>
      <c r="E293" s="169" t="s">
        <v>2589</v>
      </c>
      <c r="F293" s="169" t="s">
        <v>64</v>
      </c>
      <c r="G293" s="169">
        <v>76</v>
      </c>
      <c r="H293" s="169" t="s">
        <v>261</v>
      </c>
      <c r="I293" s="303">
        <f t="shared" si="255"/>
        <v>26000</v>
      </c>
      <c r="J293" s="165">
        <f t="shared" si="254"/>
        <v>26000</v>
      </c>
      <c r="K293" s="150">
        <f t="shared" si="248"/>
        <v>0</v>
      </c>
      <c r="L293" s="150">
        <f t="shared" si="256"/>
        <v>26000</v>
      </c>
      <c r="M293" s="166"/>
      <c r="N293" s="150"/>
      <c r="O293" s="150">
        <v>6000</v>
      </c>
      <c r="P293" s="150"/>
      <c r="Q293" s="150"/>
      <c r="R293" s="150">
        <v>20000</v>
      </c>
      <c r="S293" s="150"/>
      <c r="T293" s="150"/>
      <c r="U293" s="150"/>
      <c r="V293" s="150"/>
      <c r="W293" s="150"/>
      <c r="X293" s="150"/>
      <c r="Y293" s="150"/>
      <c r="Z293" s="150"/>
      <c r="AA293" s="150"/>
      <c r="AB293" s="150"/>
      <c r="AC293" s="150"/>
      <c r="AD293" s="150"/>
      <c r="AE293" s="150"/>
      <c r="AF293" s="150"/>
      <c r="AG293" s="150"/>
      <c r="AH293" s="150"/>
      <c r="AI293" s="150"/>
      <c r="AJ293" s="150"/>
      <c r="AK293" s="150"/>
      <c r="AL293" s="150"/>
      <c r="AM293" s="150"/>
      <c r="AN293" s="150"/>
      <c r="AO293" s="150"/>
      <c r="AP293" s="150"/>
      <c r="AQ293" s="150"/>
      <c r="AR293" s="150"/>
      <c r="AS293" s="150"/>
      <c r="AT293" s="150"/>
      <c r="AU293" s="150"/>
      <c r="AV293" s="150"/>
      <c r="AW293" s="150"/>
      <c r="AX293" s="150"/>
      <c r="AY293" s="150"/>
      <c r="AZ293" s="150"/>
      <c r="BA293" s="150"/>
      <c r="BB293" s="150"/>
      <c r="BC293" s="170"/>
      <c r="BD293" s="170"/>
      <c r="BE293" s="170"/>
      <c r="BF293" s="170"/>
      <c r="BG293" s="170"/>
      <c r="BH293" s="170"/>
      <c r="BI293" s="170"/>
      <c r="BJ293" s="170"/>
      <c r="BK293" s="167">
        <f t="shared" si="231"/>
        <v>26000</v>
      </c>
      <c r="BL293" s="167">
        <f t="shared" si="232"/>
        <v>0</v>
      </c>
      <c r="BM293" s="167">
        <f t="shared" si="233"/>
        <v>0</v>
      </c>
      <c r="BN293" s="167">
        <f t="shared" si="234"/>
        <v>0</v>
      </c>
    </row>
    <row r="294" spans="1:66" s="171" customFormat="1" ht="15.75" hidden="1" customHeight="1" outlineLevel="3" x14ac:dyDescent="0.3">
      <c r="A294" s="169"/>
      <c r="B294" s="169"/>
      <c r="C294" s="169"/>
      <c r="D294" s="169"/>
      <c r="E294" s="169" t="s">
        <v>2589</v>
      </c>
      <c r="F294" s="169" t="s">
        <v>64</v>
      </c>
      <c r="G294" s="169">
        <v>77</v>
      </c>
      <c r="H294" s="169" t="s">
        <v>262</v>
      </c>
      <c r="I294" s="303">
        <f t="shared" si="255"/>
        <v>0</v>
      </c>
      <c r="J294" s="165">
        <f t="shared" si="254"/>
        <v>0</v>
      </c>
      <c r="K294" s="150">
        <f t="shared" si="248"/>
        <v>0</v>
      </c>
      <c r="L294" s="150">
        <f t="shared" si="256"/>
        <v>0</v>
      </c>
      <c r="M294" s="166"/>
      <c r="N294" s="150"/>
      <c r="O294" s="150"/>
      <c r="P294" s="150"/>
      <c r="Q294" s="150"/>
      <c r="R294" s="150"/>
      <c r="S294" s="150"/>
      <c r="T294" s="150"/>
      <c r="U294" s="150"/>
      <c r="V294" s="150"/>
      <c r="W294" s="150"/>
      <c r="X294" s="150"/>
      <c r="Y294" s="150"/>
      <c r="Z294" s="150"/>
      <c r="AA294" s="150"/>
      <c r="AB294" s="150"/>
      <c r="AC294" s="150"/>
      <c r="AD294" s="150"/>
      <c r="AE294" s="150"/>
      <c r="AF294" s="150"/>
      <c r="AG294" s="150"/>
      <c r="AH294" s="150"/>
      <c r="AI294" s="150"/>
      <c r="AJ294" s="150"/>
      <c r="AK294" s="150"/>
      <c r="AL294" s="150"/>
      <c r="AM294" s="150"/>
      <c r="AN294" s="150"/>
      <c r="AO294" s="150"/>
      <c r="AP294" s="150"/>
      <c r="AQ294" s="150"/>
      <c r="AR294" s="150"/>
      <c r="AS294" s="150"/>
      <c r="AT294" s="150"/>
      <c r="AU294" s="150"/>
      <c r="AV294" s="150"/>
      <c r="AW294" s="150"/>
      <c r="AX294" s="150"/>
      <c r="AY294" s="150"/>
      <c r="AZ294" s="150"/>
      <c r="BA294" s="150"/>
      <c r="BB294" s="150"/>
      <c r="BC294" s="170"/>
      <c r="BD294" s="170"/>
      <c r="BE294" s="170"/>
      <c r="BF294" s="170"/>
      <c r="BG294" s="170"/>
      <c r="BH294" s="170"/>
      <c r="BI294" s="170"/>
      <c r="BJ294" s="170"/>
      <c r="BK294" s="167">
        <f t="shared" si="231"/>
        <v>0</v>
      </c>
      <c r="BL294" s="167">
        <f t="shared" si="232"/>
        <v>0</v>
      </c>
      <c r="BM294" s="167">
        <f t="shared" si="233"/>
        <v>0</v>
      </c>
      <c r="BN294" s="167">
        <f t="shared" si="234"/>
        <v>0</v>
      </c>
    </row>
    <row r="295" spans="1:66" s="171" customFormat="1" ht="15.75" hidden="1" customHeight="1" outlineLevel="3" x14ac:dyDescent="0.3">
      <c r="A295" s="169"/>
      <c r="B295" s="169"/>
      <c r="C295" s="169"/>
      <c r="D295" s="169"/>
      <c r="E295" s="169" t="s">
        <v>2589</v>
      </c>
      <c r="F295" s="169" t="s">
        <v>64</v>
      </c>
      <c r="G295" s="169">
        <v>78</v>
      </c>
      <c r="H295" s="169" t="s">
        <v>263</v>
      </c>
      <c r="I295" s="303">
        <f t="shared" si="255"/>
        <v>0</v>
      </c>
      <c r="J295" s="165">
        <f t="shared" si="254"/>
        <v>0</v>
      </c>
      <c r="K295" s="150">
        <f t="shared" si="248"/>
        <v>0</v>
      </c>
      <c r="L295" s="150">
        <f t="shared" si="256"/>
        <v>0</v>
      </c>
      <c r="M295" s="166"/>
      <c r="N295" s="150"/>
      <c r="O295" s="150"/>
      <c r="P295" s="150"/>
      <c r="Q295" s="150"/>
      <c r="R295" s="150"/>
      <c r="S295" s="150"/>
      <c r="T295" s="150"/>
      <c r="U295" s="150"/>
      <c r="V295" s="150"/>
      <c r="W295" s="150"/>
      <c r="X295" s="150"/>
      <c r="Y295" s="150"/>
      <c r="Z295" s="150"/>
      <c r="AA295" s="150"/>
      <c r="AB295" s="150"/>
      <c r="AC295" s="150"/>
      <c r="AD295" s="150"/>
      <c r="AE295" s="150"/>
      <c r="AF295" s="150"/>
      <c r="AG295" s="150"/>
      <c r="AH295" s="150"/>
      <c r="AI295" s="150"/>
      <c r="AJ295" s="150"/>
      <c r="AK295" s="150"/>
      <c r="AL295" s="150"/>
      <c r="AM295" s="150"/>
      <c r="AN295" s="150"/>
      <c r="AO295" s="150"/>
      <c r="AP295" s="150"/>
      <c r="AQ295" s="150"/>
      <c r="AR295" s="150"/>
      <c r="AS295" s="150"/>
      <c r="AT295" s="150"/>
      <c r="AU295" s="150"/>
      <c r="AV295" s="150"/>
      <c r="AW295" s="150"/>
      <c r="AX295" s="150"/>
      <c r="AY295" s="150"/>
      <c r="AZ295" s="150"/>
      <c r="BA295" s="150"/>
      <c r="BB295" s="150"/>
      <c r="BC295" s="170"/>
      <c r="BD295" s="170"/>
      <c r="BE295" s="170"/>
      <c r="BF295" s="170"/>
      <c r="BG295" s="170"/>
      <c r="BH295" s="170"/>
      <c r="BI295" s="170"/>
      <c r="BJ295" s="170"/>
      <c r="BK295" s="167">
        <f t="shared" si="231"/>
        <v>0</v>
      </c>
      <c r="BL295" s="167">
        <f t="shared" si="232"/>
        <v>0</v>
      </c>
      <c r="BM295" s="167">
        <f t="shared" si="233"/>
        <v>0</v>
      </c>
      <c r="BN295" s="167">
        <f t="shared" si="234"/>
        <v>0</v>
      </c>
    </row>
    <row r="296" spans="1:66" s="171" customFormat="1" ht="15.75" hidden="1" customHeight="1" outlineLevel="3" x14ac:dyDescent="0.3">
      <c r="A296" s="169"/>
      <c r="B296" s="169"/>
      <c r="C296" s="169"/>
      <c r="D296" s="169"/>
      <c r="E296" s="169" t="s">
        <v>2589</v>
      </c>
      <c r="F296" s="169" t="s">
        <v>64</v>
      </c>
      <c r="G296" s="169">
        <v>79</v>
      </c>
      <c r="H296" s="169" t="s">
        <v>264</v>
      </c>
      <c r="I296" s="303">
        <f t="shared" si="255"/>
        <v>65000</v>
      </c>
      <c r="J296" s="165">
        <f t="shared" si="254"/>
        <v>65000</v>
      </c>
      <c r="K296" s="150">
        <f t="shared" si="248"/>
        <v>0</v>
      </c>
      <c r="L296" s="150">
        <f t="shared" si="256"/>
        <v>65000</v>
      </c>
      <c r="M296" s="166"/>
      <c r="N296" s="150"/>
      <c r="O296" s="150">
        <v>15000</v>
      </c>
      <c r="P296" s="150"/>
      <c r="Q296" s="150"/>
      <c r="R296" s="150">
        <v>50000</v>
      </c>
      <c r="S296" s="150"/>
      <c r="T296" s="150"/>
      <c r="U296" s="150"/>
      <c r="V296" s="150"/>
      <c r="W296" s="150"/>
      <c r="X296" s="150"/>
      <c r="Y296" s="150"/>
      <c r="Z296" s="150"/>
      <c r="AA296" s="150"/>
      <c r="AB296" s="150"/>
      <c r="AC296" s="150"/>
      <c r="AD296" s="150"/>
      <c r="AE296" s="150"/>
      <c r="AF296" s="150"/>
      <c r="AG296" s="150"/>
      <c r="AH296" s="150"/>
      <c r="AI296" s="150"/>
      <c r="AJ296" s="150"/>
      <c r="AK296" s="150"/>
      <c r="AL296" s="150"/>
      <c r="AM296" s="150"/>
      <c r="AN296" s="150"/>
      <c r="AO296" s="150"/>
      <c r="AP296" s="150"/>
      <c r="AQ296" s="150"/>
      <c r="AR296" s="150"/>
      <c r="AS296" s="150"/>
      <c r="AT296" s="150"/>
      <c r="AU296" s="150"/>
      <c r="AV296" s="150"/>
      <c r="AW296" s="150"/>
      <c r="AX296" s="150"/>
      <c r="AY296" s="150"/>
      <c r="AZ296" s="150"/>
      <c r="BA296" s="150"/>
      <c r="BB296" s="150"/>
      <c r="BC296" s="170"/>
      <c r="BD296" s="170"/>
      <c r="BE296" s="170"/>
      <c r="BF296" s="170"/>
      <c r="BG296" s="170"/>
      <c r="BH296" s="170"/>
      <c r="BI296" s="170"/>
      <c r="BJ296" s="170"/>
      <c r="BK296" s="167">
        <f t="shared" si="231"/>
        <v>65000</v>
      </c>
      <c r="BL296" s="167">
        <f t="shared" si="232"/>
        <v>0</v>
      </c>
      <c r="BM296" s="167">
        <f t="shared" si="233"/>
        <v>0</v>
      </c>
      <c r="BN296" s="167">
        <f t="shared" si="234"/>
        <v>0</v>
      </c>
    </row>
    <row r="297" spans="1:66" s="171" customFormat="1" ht="15.75" hidden="1" customHeight="1" outlineLevel="3" x14ac:dyDescent="0.3">
      <c r="A297" s="169"/>
      <c r="B297" s="169"/>
      <c r="C297" s="169"/>
      <c r="D297" s="169"/>
      <c r="E297" s="169" t="s">
        <v>2589</v>
      </c>
      <c r="F297" s="169" t="s">
        <v>64</v>
      </c>
      <c r="G297" s="169">
        <v>80</v>
      </c>
      <c r="H297" s="169" t="s">
        <v>265</v>
      </c>
      <c r="I297" s="303">
        <f t="shared" si="255"/>
        <v>23622</v>
      </c>
      <c r="J297" s="165">
        <f t="shared" si="254"/>
        <v>23622</v>
      </c>
      <c r="K297" s="150">
        <f t="shared" si="248"/>
        <v>0</v>
      </c>
      <c r="L297" s="150">
        <f t="shared" si="256"/>
        <v>23622</v>
      </c>
      <c r="M297" s="166"/>
      <c r="N297" s="150"/>
      <c r="O297" s="150"/>
      <c r="P297" s="150"/>
      <c r="Q297" s="150"/>
      <c r="R297" s="150"/>
      <c r="S297" s="150"/>
      <c r="T297" s="150"/>
      <c r="U297" s="150"/>
      <c r="V297" s="150">
        <v>23622</v>
      </c>
      <c r="W297" s="150"/>
      <c r="X297" s="150"/>
      <c r="Y297" s="150"/>
      <c r="Z297" s="150"/>
      <c r="AA297" s="150"/>
      <c r="AB297" s="150"/>
      <c r="AC297" s="150"/>
      <c r="AD297" s="150"/>
      <c r="AE297" s="150"/>
      <c r="AF297" s="150"/>
      <c r="AG297" s="150"/>
      <c r="AH297" s="150"/>
      <c r="AI297" s="150"/>
      <c r="AJ297" s="150"/>
      <c r="AK297" s="150"/>
      <c r="AL297" s="150"/>
      <c r="AM297" s="150"/>
      <c r="AN297" s="150"/>
      <c r="AO297" s="150"/>
      <c r="AP297" s="150"/>
      <c r="AQ297" s="150"/>
      <c r="AR297" s="150"/>
      <c r="AS297" s="150"/>
      <c r="AT297" s="150"/>
      <c r="AU297" s="150"/>
      <c r="AV297" s="150"/>
      <c r="AW297" s="150"/>
      <c r="AX297" s="150"/>
      <c r="AY297" s="150"/>
      <c r="AZ297" s="150"/>
      <c r="BA297" s="150"/>
      <c r="BB297" s="150"/>
      <c r="BC297" s="170"/>
      <c r="BD297" s="170"/>
      <c r="BE297" s="170"/>
      <c r="BF297" s="170"/>
      <c r="BG297" s="170"/>
      <c r="BH297" s="170"/>
      <c r="BI297" s="170"/>
      <c r="BJ297" s="170"/>
      <c r="BK297" s="167">
        <f t="shared" si="231"/>
        <v>23622</v>
      </c>
      <c r="BL297" s="167">
        <f t="shared" si="232"/>
        <v>0</v>
      </c>
      <c r="BM297" s="167">
        <f t="shared" si="233"/>
        <v>0</v>
      </c>
      <c r="BN297" s="167">
        <f t="shared" si="234"/>
        <v>0</v>
      </c>
    </row>
    <row r="298" spans="1:66" s="171" customFormat="1" ht="15.75" hidden="1" customHeight="1" outlineLevel="3" x14ac:dyDescent="0.3">
      <c r="A298" s="169"/>
      <c r="B298" s="169"/>
      <c r="C298" s="169"/>
      <c r="D298" s="169"/>
      <c r="E298" s="169" t="s">
        <v>2589</v>
      </c>
      <c r="F298" s="169" t="s">
        <v>64</v>
      </c>
      <c r="G298" s="169">
        <v>81</v>
      </c>
      <c r="H298" s="169" t="s">
        <v>266</v>
      </c>
      <c r="I298" s="303">
        <f t="shared" si="255"/>
        <v>3056103</v>
      </c>
      <c r="J298" s="165">
        <f t="shared" si="254"/>
        <v>3056103</v>
      </c>
      <c r="K298" s="150">
        <f t="shared" si="248"/>
        <v>0</v>
      </c>
      <c r="L298" s="150">
        <f t="shared" si="256"/>
        <v>3056103</v>
      </c>
      <c r="M298" s="166"/>
      <c r="N298" s="150"/>
      <c r="O298" s="150">
        <v>75000</v>
      </c>
      <c r="P298" s="150"/>
      <c r="Q298" s="150"/>
      <c r="R298" s="150">
        <v>200000</v>
      </c>
      <c r="S298" s="150">
        <v>102362</v>
      </c>
      <c r="T298" s="150"/>
      <c r="U298" s="150">
        <v>236220</v>
      </c>
      <c r="V298" s="150">
        <v>2283465</v>
      </c>
      <c r="W298" s="150"/>
      <c r="X298" s="150"/>
      <c r="Y298" s="150">
        <v>33071</v>
      </c>
      <c r="Z298" s="150">
        <v>125985</v>
      </c>
      <c r="AA298" s="150"/>
      <c r="AB298" s="150"/>
      <c r="AC298" s="150"/>
      <c r="AD298" s="150"/>
      <c r="AE298" s="150"/>
      <c r="AF298" s="150"/>
      <c r="AG298" s="150"/>
      <c r="AH298" s="150"/>
      <c r="AI298" s="150"/>
      <c r="AJ298" s="150"/>
      <c r="AK298" s="150"/>
      <c r="AL298" s="150"/>
      <c r="AM298" s="150"/>
      <c r="AN298" s="150"/>
      <c r="AO298" s="150"/>
      <c r="AP298" s="150"/>
      <c r="AQ298" s="150"/>
      <c r="AR298" s="150"/>
      <c r="AS298" s="150"/>
      <c r="AT298" s="150"/>
      <c r="AU298" s="150"/>
      <c r="AV298" s="150"/>
      <c r="AW298" s="150"/>
      <c r="AX298" s="150"/>
      <c r="AY298" s="150"/>
      <c r="AZ298" s="150"/>
      <c r="BA298" s="150"/>
      <c r="BB298" s="150"/>
      <c r="BC298" s="170"/>
      <c r="BD298" s="170"/>
      <c r="BE298" s="170"/>
      <c r="BF298" s="170"/>
      <c r="BG298" s="170"/>
      <c r="BH298" s="170"/>
      <c r="BI298" s="170"/>
      <c r="BJ298" s="170"/>
      <c r="BK298" s="167">
        <f t="shared" si="231"/>
        <v>3056103</v>
      </c>
      <c r="BL298" s="167">
        <f t="shared" si="232"/>
        <v>0</v>
      </c>
      <c r="BM298" s="167">
        <f t="shared" si="233"/>
        <v>0</v>
      </c>
      <c r="BN298" s="167">
        <f t="shared" si="234"/>
        <v>0</v>
      </c>
    </row>
    <row r="299" spans="1:66" s="171" customFormat="1" ht="15.75" hidden="1" customHeight="1" outlineLevel="3" x14ac:dyDescent="0.3">
      <c r="A299" s="169"/>
      <c r="B299" s="169"/>
      <c r="C299" s="169"/>
      <c r="D299" s="169"/>
      <c r="E299" s="169" t="s">
        <v>2589</v>
      </c>
      <c r="F299" s="169" t="s">
        <v>64</v>
      </c>
      <c r="G299" s="169">
        <v>84</v>
      </c>
      <c r="H299" s="169" t="s">
        <v>271</v>
      </c>
      <c r="I299" s="303">
        <f t="shared" si="255"/>
        <v>0</v>
      </c>
      <c r="J299" s="165">
        <f t="shared" si="254"/>
        <v>0</v>
      </c>
      <c r="K299" s="150">
        <f t="shared" si="248"/>
        <v>0</v>
      </c>
      <c r="L299" s="150">
        <f t="shared" si="256"/>
        <v>0</v>
      </c>
      <c r="M299" s="166"/>
      <c r="N299" s="150"/>
      <c r="O299" s="150"/>
      <c r="P299" s="150"/>
      <c r="Q299" s="150"/>
      <c r="R299" s="150"/>
      <c r="S299" s="150"/>
      <c r="T299" s="150"/>
      <c r="U299" s="150"/>
      <c r="V299" s="150"/>
      <c r="W299" s="150"/>
      <c r="X299" s="150"/>
      <c r="Y299" s="150"/>
      <c r="Z299" s="150"/>
      <c r="AA299" s="150"/>
      <c r="AB299" s="150"/>
      <c r="AC299" s="150"/>
      <c r="AD299" s="150"/>
      <c r="AE299" s="150"/>
      <c r="AF299" s="150"/>
      <c r="AG299" s="150"/>
      <c r="AH299" s="150"/>
      <c r="AI299" s="150"/>
      <c r="AJ299" s="150"/>
      <c r="AK299" s="150"/>
      <c r="AL299" s="150"/>
      <c r="AM299" s="150"/>
      <c r="AN299" s="150"/>
      <c r="AO299" s="150"/>
      <c r="AP299" s="150"/>
      <c r="AQ299" s="150"/>
      <c r="AR299" s="150"/>
      <c r="AS299" s="150"/>
      <c r="AT299" s="150"/>
      <c r="AU299" s="150"/>
      <c r="AV299" s="150"/>
      <c r="AW299" s="150"/>
      <c r="AX299" s="150"/>
      <c r="AY299" s="150"/>
      <c r="AZ299" s="150"/>
      <c r="BA299" s="150"/>
      <c r="BB299" s="150"/>
      <c r="BC299" s="170"/>
      <c r="BD299" s="170"/>
      <c r="BE299" s="170"/>
      <c r="BF299" s="170"/>
      <c r="BG299" s="170"/>
      <c r="BH299" s="170"/>
      <c r="BI299" s="170"/>
      <c r="BJ299" s="170"/>
      <c r="BK299" s="167">
        <f t="shared" si="231"/>
        <v>0</v>
      </c>
      <c r="BL299" s="167">
        <f t="shared" si="232"/>
        <v>0</v>
      </c>
      <c r="BM299" s="167">
        <f t="shared" si="233"/>
        <v>0</v>
      </c>
      <c r="BN299" s="167">
        <f t="shared" si="234"/>
        <v>0</v>
      </c>
    </row>
    <row r="300" spans="1:66" s="171" customFormat="1" ht="15.75" hidden="1" customHeight="1" outlineLevel="3" x14ac:dyDescent="0.3">
      <c r="A300" s="169"/>
      <c r="B300" s="169"/>
      <c r="C300" s="169"/>
      <c r="D300" s="169"/>
      <c r="E300" s="169" t="s">
        <v>2589</v>
      </c>
      <c r="F300" s="169" t="s">
        <v>64</v>
      </c>
      <c r="G300" s="169">
        <v>85</v>
      </c>
      <c r="H300" s="169" t="s">
        <v>273</v>
      </c>
      <c r="I300" s="303">
        <f t="shared" si="255"/>
        <v>0</v>
      </c>
      <c r="J300" s="165">
        <f t="shared" si="254"/>
        <v>0</v>
      </c>
      <c r="K300" s="150">
        <f t="shared" si="248"/>
        <v>0</v>
      </c>
      <c r="L300" s="150">
        <f t="shared" si="256"/>
        <v>0</v>
      </c>
      <c r="M300" s="166"/>
      <c r="N300" s="150"/>
      <c r="O300" s="150"/>
      <c r="P300" s="150"/>
      <c r="Q300" s="150"/>
      <c r="R300" s="150"/>
      <c r="S300" s="150"/>
      <c r="T300" s="150"/>
      <c r="U300" s="150"/>
      <c r="V300" s="150"/>
      <c r="W300" s="150"/>
      <c r="X300" s="150"/>
      <c r="Y300" s="150"/>
      <c r="Z300" s="150"/>
      <c r="AA300" s="150"/>
      <c r="AB300" s="150"/>
      <c r="AC300" s="150"/>
      <c r="AD300" s="150"/>
      <c r="AE300" s="150"/>
      <c r="AF300" s="150"/>
      <c r="AG300" s="150"/>
      <c r="AH300" s="150"/>
      <c r="AI300" s="150"/>
      <c r="AJ300" s="150"/>
      <c r="AK300" s="150"/>
      <c r="AL300" s="150"/>
      <c r="AM300" s="150"/>
      <c r="AN300" s="150"/>
      <c r="AO300" s="150"/>
      <c r="AP300" s="150"/>
      <c r="AQ300" s="150"/>
      <c r="AR300" s="150"/>
      <c r="AS300" s="150"/>
      <c r="AT300" s="150"/>
      <c r="AU300" s="150"/>
      <c r="AV300" s="150"/>
      <c r="AW300" s="150"/>
      <c r="AX300" s="150"/>
      <c r="AY300" s="150"/>
      <c r="AZ300" s="150"/>
      <c r="BA300" s="150"/>
      <c r="BB300" s="150"/>
      <c r="BC300" s="170"/>
      <c r="BD300" s="170"/>
      <c r="BE300" s="170"/>
      <c r="BF300" s="170"/>
      <c r="BG300" s="170"/>
      <c r="BH300" s="170"/>
      <c r="BI300" s="170"/>
      <c r="BJ300" s="170"/>
      <c r="BK300" s="167">
        <f t="shared" si="231"/>
        <v>0</v>
      </c>
      <c r="BL300" s="167">
        <f t="shared" si="232"/>
        <v>0</v>
      </c>
      <c r="BM300" s="167">
        <f t="shared" si="233"/>
        <v>0</v>
      </c>
      <c r="BN300" s="167">
        <f t="shared" si="234"/>
        <v>0</v>
      </c>
    </row>
    <row r="301" spans="1:66" s="171" customFormat="1" ht="15.75" hidden="1" customHeight="1" outlineLevel="3" x14ac:dyDescent="0.3">
      <c r="A301" s="169"/>
      <c r="B301" s="169"/>
      <c r="C301" s="169"/>
      <c r="D301" s="169"/>
      <c r="E301" s="169" t="s">
        <v>2589</v>
      </c>
      <c r="F301" s="169" t="s">
        <v>64</v>
      </c>
      <c r="G301" s="169">
        <v>86</v>
      </c>
      <c r="H301" s="169" t="s">
        <v>274</v>
      </c>
      <c r="I301" s="303">
        <f t="shared" si="255"/>
        <v>0</v>
      </c>
      <c r="J301" s="165">
        <f t="shared" si="254"/>
        <v>0</v>
      </c>
      <c r="K301" s="150">
        <f t="shared" si="248"/>
        <v>0</v>
      </c>
      <c r="L301" s="150">
        <f t="shared" si="256"/>
        <v>0</v>
      </c>
      <c r="M301" s="166"/>
      <c r="N301" s="150"/>
      <c r="O301" s="150"/>
      <c r="P301" s="150"/>
      <c r="Q301" s="150"/>
      <c r="R301" s="150"/>
      <c r="S301" s="150"/>
      <c r="T301" s="150"/>
      <c r="U301" s="150"/>
      <c r="V301" s="150"/>
      <c r="W301" s="150"/>
      <c r="X301" s="150"/>
      <c r="Y301" s="150"/>
      <c r="Z301" s="150"/>
      <c r="AA301" s="150"/>
      <c r="AB301" s="150"/>
      <c r="AC301" s="150"/>
      <c r="AD301" s="150"/>
      <c r="AE301" s="150"/>
      <c r="AF301" s="150"/>
      <c r="AG301" s="150"/>
      <c r="AH301" s="150"/>
      <c r="AI301" s="150"/>
      <c r="AJ301" s="150"/>
      <c r="AK301" s="150"/>
      <c r="AL301" s="150"/>
      <c r="AM301" s="150"/>
      <c r="AN301" s="150"/>
      <c r="AO301" s="150"/>
      <c r="AP301" s="150"/>
      <c r="AQ301" s="150"/>
      <c r="AR301" s="150"/>
      <c r="AS301" s="150"/>
      <c r="AT301" s="150"/>
      <c r="AU301" s="150"/>
      <c r="AV301" s="150"/>
      <c r="AW301" s="150"/>
      <c r="AX301" s="150"/>
      <c r="AY301" s="150"/>
      <c r="AZ301" s="150"/>
      <c r="BA301" s="150"/>
      <c r="BB301" s="150"/>
      <c r="BC301" s="170"/>
      <c r="BD301" s="170"/>
      <c r="BE301" s="170"/>
      <c r="BF301" s="170"/>
      <c r="BG301" s="170"/>
      <c r="BH301" s="170"/>
      <c r="BI301" s="170"/>
      <c r="BJ301" s="170"/>
      <c r="BK301" s="167">
        <f t="shared" si="231"/>
        <v>0</v>
      </c>
      <c r="BL301" s="167">
        <f t="shared" si="232"/>
        <v>0</v>
      </c>
      <c r="BM301" s="167">
        <f t="shared" si="233"/>
        <v>0</v>
      </c>
      <c r="BN301" s="167">
        <f t="shared" si="234"/>
        <v>0</v>
      </c>
    </row>
    <row r="302" spans="1:66" s="171" customFormat="1" ht="15.75" hidden="1" customHeight="1" outlineLevel="3" x14ac:dyDescent="0.3">
      <c r="A302" s="169"/>
      <c r="B302" s="169"/>
      <c r="C302" s="169"/>
      <c r="D302" s="169"/>
      <c r="E302" s="169" t="s">
        <v>2589</v>
      </c>
      <c r="F302" s="169" t="s">
        <v>64</v>
      </c>
      <c r="G302" s="169">
        <v>87</v>
      </c>
      <c r="H302" s="169" t="s">
        <v>275</v>
      </c>
      <c r="I302" s="303">
        <f t="shared" si="255"/>
        <v>0</v>
      </c>
      <c r="J302" s="165">
        <f t="shared" si="254"/>
        <v>0</v>
      </c>
      <c r="K302" s="150">
        <f t="shared" si="248"/>
        <v>0</v>
      </c>
      <c r="L302" s="150">
        <f t="shared" si="256"/>
        <v>0</v>
      </c>
      <c r="M302" s="166"/>
      <c r="N302" s="150"/>
      <c r="O302" s="150"/>
      <c r="P302" s="150"/>
      <c r="Q302" s="150"/>
      <c r="R302" s="150"/>
      <c r="S302" s="150"/>
      <c r="T302" s="150"/>
      <c r="U302" s="150"/>
      <c r="V302" s="150"/>
      <c r="W302" s="150"/>
      <c r="X302" s="150"/>
      <c r="Y302" s="150"/>
      <c r="Z302" s="150"/>
      <c r="AA302" s="150"/>
      <c r="AB302" s="150"/>
      <c r="AC302" s="150"/>
      <c r="AD302" s="150"/>
      <c r="AE302" s="150"/>
      <c r="AF302" s="150"/>
      <c r="AG302" s="150"/>
      <c r="AH302" s="150"/>
      <c r="AI302" s="150"/>
      <c r="AJ302" s="150"/>
      <c r="AK302" s="150"/>
      <c r="AL302" s="150"/>
      <c r="AM302" s="150"/>
      <c r="AN302" s="150"/>
      <c r="AO302" s="150"/>
      <c r="AP302" s="150"/>
      <c r="AQ302" s="150"/>
      <c r="AR302" s="150"/>
      <c r="AS302" s="150"/>
      <c r="AT302" s="150"/>
      <c r="AU302" s="150"/>
      <c r="AV302" s="150"/>
      <c r="AW302" s="150"/>
      <c r="AX302" s="150"/>
      <c r="AY302" s="150"/>
      <c r="AZ302" s="150"/>
      <c r="BA302" s="150"/>
      <c r="BB302" s="150"/>
      <c r="BC302" s="170"/>
      <c r="BD302" s="170"/>
      <c r="BE302" s="170"/>
      <c r="BF302" s="170"/>
      <c r="BG302" s="170"/>
      <c r="BH302" s="170"/>
      <c r="BI302" s="170"/>
      <c r="BJ302" s="170"/>
      <c r="BK302" s="167">
        <f t="shared" si="231"/>
        <v>0</v>
      </c>
      <c r="BL302" s="167">
        <f t="shared" si="232"/>
        <v>0</v>
      </c>
      <c r="BM302" s="167">
        <f t="shared" si="233"/>
        <v>0</v>
      </c>
      <c r="BN302" s="167">
        <f t="shared" si="234"/>
        <v>0</v>
      </c>
    </row>
    <row r="303" spans="1:66" s="171" customFormat="1" ht="15.75" hidden="1" customHeight="1" outlineLevel="3" x14ac:dyDescent="0.3">
      <c r="A303" s="169"/>
      <c r="B303" s="169"/>
      <c r="C303" s="169"/>
      <c r="D303" s="169"/>
      <c r="E303" s="169" t="s">
        <v>2589</v>
      </c>
      <c r="F303" s="169" t="s">
        <v>64</v>
      </c>
      <c r="G303" s="169">
        <v>88</v>
      </c>
      <c r="H303" s="169" t="s">
        <v>276</v>
      </c>
      <c r="I303" s="303">
        <f t="shared" si="255"/>
        <v>0</v>
      </c>
      <c r="J303" s="165">
        <f t="shared" si="254"/>
        <v>0</v>
      </c>
      <c r="K303" s="150">
        <f t="shared" ref="K303:K376" si="257">+I303-J303</f>
        <v>0</v>
      </c>
      <c r="L303" s="150">
        <f t="shared" si="256"/>
        <v>0</v>
      </c>
      <c r="M303" s="166"/>
      <c r="N303" s="150"/>
      <c r="O303" s="150"/>
      <c r="P303" s="150"/>
      <c r="Q303" s="150"/>
      <c r="R303" s="150"/>
      <c r="S303" s="150"/>
      <c r="T303" s="150"/>
      <c r="U303" s="150"/>
      <c r="V303" s="150"/>
      <c r="W303" s="150"/>
      <c r="X303" s="150"/>
      <c r="Y303" s="150"/>
      <c r="Z303" s="150"/>
      <c r="AA303" s="150"/>
      <c r="AB303" s="150"/>
      <c r="AC303" s="150"/>
      <c r="AD303" s="150"/>
      <c r="AE303" s="150"/>
      <c r="AF303" s="150"/>
      <c r="AG303" s="150"/>
      <c r="AH303" s="150"/>
      <c r="AI303" s="150"/>
      <c r="AJ303" s="150"/>
      <c r="AK303" s="150"/>
      <c r="AL303" s="150"/>
      <c r="AM303" s="150"/>
      <c r="AN303" s="150"/>
      <c r="AO303" s="150"/>
      <c r="AP303" s="150"/>
      <c r="AQ303" s="150"/>
      <c r="AR303" s="150"/>
      <c r="AS303" s="150"/>
      <c r="AT303" s="150"/>
      <c r="AU303" s="150"/>
      <c r="AV303" s="150"/>
      <c r="AW303" s="150"/>
      <c r="AX303" s="150"/>
      <c r="AY303" s="150"/>
      <c r="AZ303" s="150"/>
      <c r="BA303" s="150"/>
      <c r="BB303" s="150"/>
      <c r="BC303" s="170"/>
      <c r="BD303" s="170"/>
      <c r="BE303" s="170"/>
      <c r="BF303" s="170"/>
      <c r="BG303" s="170"/>
      <c r="BH303" s="170"/>
      <c r="BI303" s="170"/>
      <c r="BJ303" s="170"/>
      <c r="BK303" s="167">
        <f t="shared" si="231"/>
        <v>0</v>
      </c>
      <c r="BL303" s="167">
        <f t="shared" si="232"/>
        <v>0</v>
      </c>
      <c r="BM303" s="167">
        <f t="shared" si="233"/>
        <v>0</v>
      </c>
      <c r="BN303" s="167">
        <f t="shared" si="234"/>
        <v>0</v>
      </c>
    </row>
    <row r="304" spans="1:66" s="171" customFormat="1" ht="15.75" hidden="1" customHeight="1" outlineLevel="3" x14ac:dyDescent="0.3">
      <c r="A304" s="169"/>
      <c r="B304" s="169"/>
      <c r="C304" s="169"/>
      <c r="D304" s="169"/>
      <c r="E304" s="169" t="s">
        <v>2589</v>
      </c>
      <c r="F304" s="169" t="s">
        <v>64</v>
      </c>
      <c r="G304" s="169">
        <v>90</v>
      </c>
      <c r="H304" s="169" t="s">
        <v>279</v>
      </c>
      <c r="I304" s="303">
        <f t="shared" si="255"/>
        <v>0</v>
      </c>
      <c r="J304" s="165">
        <f t="shared" si="254"/>
        <v>0</v>
      </c>
      <c r="K304" s="150">
        <f t="shared" si="257"/>
        <v>0</v>
      </c>
      <c r="L304" s="150">
        <f t="shared" si="256"/>
        <v>0</v>
      </c>
      <c r="M304" s="166"/>
      <c r="N304" s="150"/>
      <c r="O304" s="150"/>
      <c r="P304" s="150"/>
      <c r="Q304" s="150"/>
      <c r="R304" s="150"/>
      <c r="S304" s="150"/>
      <c r="T304" s="150"/>
      <c r="U304" s="150"/>
      <c r="V304" s="150"/>
      <c r="W304" s="150"/>
      <c r="X304" s="150"/>
      <c r="Y304" s="150"/>
      <c r="Z304" s="150"/>
      <c r="AA304" s="150"/>
      <c r="AB304" s="150"/>
      <c r="AC304" s="150"/>
      <c r="AD304" s="150"/>
      <c r="AE304" s="150"/>
      <c r="AF304" s="150"/>
      <c r="AG304" s="150"/>
      <c r="AH304" s="150"/>
      <c r="AI304" s="150"/>
      <c r="AJ304" s="150"/>
      <c r="AK304" s="150"/>
      <c r="AL304" s="150"/>
      <c r="AM304" s="150"/>
      <c r="AN304" s="150"/>
      <c r="AO304" s="150"/>
      <c r="AP304" s="150"/>
      <c r="AQ304" s="150"/>
      <c r="AR304" s="150"/>
      <c r="AS304" s="150"/>
      <c r="AT304" s="150"/>
      <c r="AU304" s="150"/>
      <c r="AV304" s="150"/>
      <c r="AW304" s="150"/>
      <c r="AX304" s="150"/>
      <c r="AY304" s="150"/>
      <c r="AZ304" s="150"/>
      <c r="BA304" s="150"/>
      <c r="BB304" s="150"/>
      <c r="BC304" s="170"/>
      <c r="BD304" s="170"/>
      <c r="BE304" s="170"/>
      <c r="BF304" s="170"/>
      <c r="BG304" s="170"/>
      <c r="BH304" s="170"/>
      <c r="BI304" s="170"/>
      <c r="BJ304" s="170"/>
      <c r="BK304" s="167">
        <f t="shared" si="231"/>
        <v>0</v>
      </c>
      <c r="BL304" s="167">
        <f t="shared" si="232"/>
        <v>0</v>
      </c>
      <c r="BM304" s="167">
        <f t="shared" si="233"/>
        <v>0</v>
      </c>
      <c r="BN304" s="167">
        <f t="shared" si="234"/>
        <v>0</v>
      </c>
    </row>
    <row r="305" spans="1:66" s="171" customFormat="1" ht="15.75" hidden="1" customHeight="1" outlineLevel="3" x14ac:dyDescent="0.3">
      <c r="A305" s="169"/>
      <c r="B305" s="169"/>
      <c r="C305" s="169"/>
      <c r="D305" s="169"/>
      <c r="E305" s="169" t="s">
        <v>2589</v>
      </c>
      <c r="F305" s="169" t="s">
        <v>64</v>
      </c>
      <c r="G305" s="169">
        <v>91</v>
      </c>
      <c r="H305" s="169" t="s">
        <v>281</v>
      </c>
      <c r="I305" s="303">
        <f t="shared" si="255"/>
        <v>0</v>
      </c>
      <c r="J305" s="165">
        <f t="shared" si="254"/>
        <v>0</v>
      </c>
      <c r="K305" s="150">
        <f t="shared" si="257"/>
        <v>0</v>
      </c>
      <c r="L305" s="150">
        <f t="shared" si="256"/>
        <v>0</v>
      </c>
      <c r="M305" s="166"/>
      <c r="N305" s="150"/>
      <c r="O305" s="150"/>
      <c r="P305" s="150"/>
      <c r="Q305" s="150"/>
      <c r="R305" s="150"/>
      <c r="S305" s="150"/>
      <c r="T305" s="150"/>
      <c r="U305" s="150"/>
      <c r="V305" s="150"/>
      <c r="W305" s="150"/>
      <c r="X305" s="150"/>
      <c r="Y305" s="150"/>
      <c r="Z305" s="150"/>
      <c r="AA305" s="150"/>
      <c r="AB305" s="150"/>
      <c r="AC305" s="150"/>
      <c r="AD305" s="150"/>
      <c r="AE305" s="150"/>
      <c r="AF305" s="150"/>
      <c r="AG305" s="150"/>
      <c r="AH305" s="150"/>
      <c r="AI305" s="150"/>
      <c r="AJ305" s="150"/>
      <c r="AK305" s="150"/>
      <c r="AL305" s="150"/>
      <c r="AM305" s="150"/>
      <c r="AN305" s="150"/>
      <c r="AO305" s="150"/>
      <c r="AP305" s="150"/>
      <c r="AQ305" s="150"/>
      <c r="AR305" s="150"/>
      <c r="AS305" s="150"/>
      <c r="AT305" s="150"/>
      <c r="AU305" s="150"/>
      <c r="AV305" s="150"/>
      <c r="AW305" s="150"/>
      <c r="AX305" s="150"/>
      <c r="AY305" s="150"/>
      <c r="AZ305" s="150"/>
      <c r="BA305" s="150"/>
      <c r="BB305" s="150"/>
      <c r="BC305" s="170"/>
      <c r="BD305" s="170"/>
      <c r="BE305" s="170"/>
      <c r="BF305" s="170"/>
      <c r="BG305" s="170"/>
      <c r="BH305" s="170"/>
      <c r="BI305" s="170"/>
      <c r="BJ305" s="170"/>
      <c r="BK305" s="167">
        <f t="shared" si="231"/>
        <v>0</v>
      </c>
      <c r="BL305" s="167">
        <f t="shared" si="232"/>
        <v>0</v>
      </c>
      <c r="BM305" s="167">
        <f t="shared" si="233"/>
        <v>0</v>
      </c>
      <c r="BN305" s="167">
        <f t="shared" si="234"/>
        <v>0</v>
      </c>
    </row>
    <row r="306" spans="1:66" s="171" customFormat="1" ht="15.75" hidden="1" customHeight="1" outlineLevel="3" x14ac:dyDescent="0.3">
      <c r="A306" s="169"/>
      <c r="B306" s="169"/>
      <c r="C306" s="169"/>
      <c r="D306" s="169"/>
      <c r="E306" s="169" t="s">
        <v>2589</v>
      </c>
      <c r="F306" s="169" t="s">
        <v>64</v>
      </c>
      <c r="G306" s="169">
        <v>92</v>
      </c>
      <c r="H306" s="169" t="s">
        <v>282</v>
      </c>
      <c r="I306" s="303">
        <f t="shared" si="255"/>
        <v>170079</v>
      </c>
      <c r="J306" s="165">
        <f t="shared" si="254"/>
        <v>170079</v>
      </c>
      <c r="K306" s="150">
        <f t="shared" si="257"/>
        <v>0</v>
      </c>
      <c r="L306" s="150">
        <f t="shared" si="256"/>
        <v>170079</v>
      </c>
      <c r="M306" s="166"/>
      <c r="N306" s="150"/>
      <c r="O306" s="150"/>
      <c r="P306" s="150"/>
      <c r="Q306" s="150"/>
      <c r="R306" s="150"/>
      <c r="S306" s="150"/>
      <c r="T306" s="150"/>
      <c r="U306" s="150"/>
      <c r="V306" s="150"/>
      <c r="W306" s="150"/>
      <c r="X306" s="150"/>
      <c r="Y306" s="150"/>
      <c r="Z306" s="150"/>
      <c r="AA306" s="150">
        <v>170079</v>
      </c>
      <c r="AB306" s="150"/>
      <c r="AC306" s="150"/>
      <c r="AD306" s="150"/>
      <c r="AE306" s="150"/>
      <c r="AF306" s="150"/>
      <c r="AG306" s="150"/>
      <c r="AH306" s="150"/>
      <c r="AI306" s="150"/>
      <c r="AJ306" s="150"/>
      <c r="AK306" s="150"/>
      <c r="AL306" s="150"/>
      <c r="AM306" s="150"/>
      <c r="AN306" s="150"/>
      <c r="AO306" s="150"/>
      <c r="AP306" s="150"/>
      <c r="AQ306" s="150"/>
      <c r="AR306" s="150"/>
      <c r="AS306" s="150"/>
      <c r="AT306" s="150"/>
      <c r="AU306" s="150"/>
      <c r="AV306" s="150"/>
      <c r="AW306" s="150"/>
      <c r="AX306" s="150"/>
      <c r="AY306" s="150"/>
      <c r="AZ306" s="150"/>
      <c r="BA306" s="150"/>
      <c r="BB306" s="150"/>
      <c r="BC306" s="170"/>
      <c r="BD306" s="170"/>
      <c r="BE306" s="170"/>
      <c r="BF306" s="170"/>
      <c r="BG306" s="170"/>
      <c r="BH306" s="170"/>
      <c r="BI306" s="170"/>
      <c r="BJ306" s="170"/>
      <c r="BK306" s="167">
        <f t="shared" si="231"/>
        <v>170079</v>
      </c>
      <c r="BL306" s="167">
        <f t="shared" si="232"/>
        <v>0</v>
      </c>
      <c r="BM306" s="167">
        <f t="shared" si="233"/>
        <v>0</v>
      </c>
      <c r="BN306" s="167">
        <f t="shared" si="234"/>
        <v>0</v>
      </c>
    </row>
    <row r="307" spans="1:66" s="171" customFormat="1" ht="15.75" hidden="1" customHeight="1" outlineLevel="3" x14ac:dyDescent="0.3">
      <c r="A307" s="169"/>
      <c r="B307" s="169"/>
      <c r="C307" s="169"/>
      <c r="D307" s="169"/>
      <c r="E307" s="169" t="s">
        <v>2589</v>
      </c>
      <c r="F307" s="169" t="s">
        <v>64</v>
      </c>
      <c r="G307" s="169">
        <v>93</v>
      </c>
      <c r="H307" s="169" t="s">
        <v>284</v>
      </c>
      <c r="I307" s="303">
        <f t="shared" si="255"/>
        <v>0</v>
      </c>
      <c r="J307" s="165">
        <f t="shared" si="254"/>
        <v>0</v>
      </c>
      <c r="K307" s="150">
        <f t="shared" si="257"/>
        <v>0</v>
      </c>
      <c r="L307" s="150">
        <f t="shared" si="256"/>
        <v>0</v>
      </c>
      <c r="M307" s="166"/>
      <c r="N307" s="150"/>
      <c r="O307" s="150"/>
      <c r="P307" s="150"/>
      <c r="Q307" s="150"/>
      <c r="R307" s="150"/>
      <c r="S307" s="150"/>
      <c r="T307" s="150"/>
      <c r="U307" s="150"/>
      <c r="V307" s="150"/>
      <c r="W307" s="150"/>
      <c r="X307" s="150"/>
      <c r="Y307" s="150"/>
      <c r="Z307" s="150"/>
      <c r="AA307" s="150"/>
      <c r="AB307" s="150"/>
      <c r="AC307" s="150"/>
      <c r="AD307" s="150"/>
      <c r="AE307" s="150"/>
      <c r="AF307" s="150"/>
      <c r="AG307" s="150"/>
      <c r="AH307" s="150"/>
      <c r="AI307" s="150"/>
      <c r="AJ307" s="150"/>
      <c r="AK307" s="150"/>
      <c r="AL307" s="150"/>
      <c r="AM307" s="150"/>
      <c r="AN307" s="150"/>
      <c r="AO307" s="150"/>
      <c r="AP307" s="150"/>
      <c r="AQ307" s="150"/>
      <c r="AR307" s="150"/>
      <c r="AS307" s="150"/>
      <c r="AT307" s="150"/>
      <c r="AU307" s="150"/>
      <c r="AV307" s="150"/>
      <c r="AW307" s="150"/>
      <c r="AX307" s="150"/>
      <c r="AY307" s="150"/>
      <c r="AZ307" s="150"/>
      <c r="BA307" s="150"/>
      <c r="BB307" s="150"/>
      <c r="BC307" s="170"/>
      <c r="BD307" s="170"/>
      <c r="BE307" s="170"/>
      <c r="BF307" s="170"/>
      <c r="BG307" s="170"/>
      <c r="BH307" s="170"/>
      <c r="BI307" s="170"/>
      <c r="BJ307" s="170"/>
      <c r="BK307" s="167">
        <f t="shared" si="231"/>
        <v>0</v>
      </c>
      <c r="BL307" s="167">
        <f t="shared" si="232"/>
        <v>0</v>
      </c>
      <c r="BM307" s="167">
        <f t="shared" si="233"/>
        <v>0</v>
      </c>
      <c r="BN307" s="167">
        <f t="shared" si="234"/>
        <v>0</v>
      </c>
    </row>
    <row r="308" spans="1:66" s="171" customFormat="1" ht="15.75" hidden="1" customHeight="1" outlineLevel="3" x14ac:dyDescent="0.3">
      <c r="A308" s="169"/>
      <c r="B308" s="169"/>
      <c r="C308" s="169"/>
      <c r="D308" s="169"/>
      <c r="E308" s="169" t="s">
        <v>2589</v>
      </c>
      <c r="F308" s="169" t="s">
        <v>64</v>
      </c>
      <c r="G308" s="169">
        <v>96</v>
      </c>
      <c r="H308" s="169" t="s">
        <v>289</v>
      </c>
      <c r="I308" s="303">
        <f t="shared" si="255"/>
        <v>0</v>
      </c>
      <c r="J308" s="165">
        <f t="shared" si="254"/>
        <v>0</v>
      </c>
      <c r="K308" s="150">
        <f t="shared" si="257"/>
        <v>0</v>
      </c>
      <c r="L308" s="150">
        <f t="shared" si="256"/>
        <v>0</v>
      </c>
      <c r="M308" s="166"/>
      <c r="N308" s="150"/>
      <c r="O308" s="150"/>
      <c r="P308" s="150"/>
      <c r="Q308" s="150"/>
      <c r="R308" s="150"/>
      <c r="S308" s="150"/>
      <c r="T308" s="150"/>
      <c r="U308" s="150"/>
      <c r="V308" s="150"/>
      <c r="W308" s="150"/>
      <c r="X308" s="150"/>
      <c r="Y308" s="150"/>
      <c r="Z308" s="150"/>
      <c r="AA308" s="150"/>
      <c r="AB308" s="150"/>
      <c r="AC308" s="150"/>
      <c r="AD308" s="150"/>
      <c r="AE308" s="150"/>
      <c r="AF308" s="150"/>
      <c r="AG308" s="150"/>
      <c r="AH308" s="150"/>
      <c r="AI308" s="150"/>
      <c r="AJ308" s="150"/>
      <c r="AK308" s="150"/>
      <c r="AL308" s="150"/>
      <c r="AM308" s="150"/>
      <c r="AN308" s="150"/>
      <c r="AO308" s="150"/>
      <c r="AP308" s="150"/>
      <c r="AQ308" s="150"/>
      <c r="AR308" s="150"/>
      <c r="AS308" s="150"/>
      <c r="AT308" s="150"/>
      <c r="AU308" s="150"/>
      <c r="AV308" s="150"/>
      <c r="AW308" s="150"/>
      <c r="AX308" s="150"/>
      <c r="AY308" s="150"/>
      <c r="AZ308" s="150"/>
      <c r="BA308" s="150"/>
      <c r="BB308" s="150"/>
      <c r="BC308" s="170"/>
      <c r="BD308" s="170"/>
      <c r="BE308" s="170"/>
      <c r="BF308" s="170"/>
      <c r="BG308" s="170"/>
      <c r="BH308" s="170"/>
      <c r="BI308" s="170"/>
      <c r="BJ308" s="170"/>
      <c r="BK308" s="167">
        <f t="shared" si="231"/>
        <v>0</v>
      </c>
      <c r="BL308" s="167">
        <f t="shared" si="232"/>
        <v>0</v>
      </c>
      <c r="BM308" s="167">
        <f t="shared" si="233"/>
        <v>0</v>
      </c>
      <c r="BN308" s="167">
        <f t="shared" si="234"/>
        <v>0</v>
      </c>
    </row>
    <row r="309" spans="1:66" s="171" customFormat="1" ht="15.75" hidden="1" customHeight="1" outlineLevel="3" x14ac:dyDescent="0.3">
      <c r="A309" s="169"/>
      <c r="B309" s="169"/>
      <c r="C309" s="169"/>
      <c r="D309" s="169"/>
      <c r="E309" s="169" t="s">
        <v>2589</v>
      </c>
      <c r="F309" s="169" t="s">
        <v>64</v>
      </c>
      <c r="G309" s="169">
        <v>97</v>
      </c>
      <c r="H309" s="169" t="s">
        <v>291</v>
      </c>
      <c r="I309" s="303">
        <f t="shared" si="255"/>
        <v>0</v>
      </c>
      <c r="J309" s="165">
        <f t="shared" si="254"/>
        <v>0</v>
      </c>
      <c r="K309" s="150">
        <f t="shared" si="257"/>
        <v>0</v>
      </c>
      <c r="L309" s="150">
        <f t="shared" si="256"/>
        <v>0</v>
      </c>
      <c r="M309" s="166"/>
      <c r="N309" s="150"/>
      <c r="O309" s="150"/>
      <c r="P309" s="150"/>
      <c r="Q309" s="150"/>
      <c r="R309" s="150"/>
      <c r="S309" s="150"/>
      <c r="T309" s="150"/>
      <c r="U309" s="150"/>
      <c r="V309" s="150"/>
      <c r="W309" s="150"/>
      <c r="X309" s="150"/>
      <c r="Y309" s="150"/>
      <c r="Z309" s="150"/>
      <c r="AA309" s="150"/>
      <c r="AB309" s="150"/>
      <c r="AC309" s="150"/>
      <c r="AD309" s="150"/>
      <c r="AE309" s="150"/>
      <c r="AF309" s="150"/>
      <c r="AG309" s="150"/>
      <c r="AH309" s="150"/>
      <c r="AI309" s="150"/>
      <c r="AJ309" s="150"/>
      <c r="AK309" s="150"/>
      <c r="AL309" s="150"/>
      <c r="AM309" s="150"/>
      <c r="AN309" s="150"/>
      <c r="AO309" s="150"/>
      <c r="AP309" s="150"/>
      <c r="AQ309" s="150"/>
      <c r="AR309" s="150"/>
      <c r="AS309" s="150"/>
      <c r="AT309" s="150"/>
      <c r="AU309" s="150"/>
      <c r="AV309" s="150"/>
      <c r="AW309" s="150"/>
      <c r="AX309" s="150"/>
      <c r="AY309" s="150"/>
      <c r="AZ309" s="150"/>
      <c r="BA309" s="150"/>
      <c r="BB309" s="150"/>
      <c r="BC309" s="170"/>
      <c r="BD309" s="170"/>
      <c r="BE309" s="170"/>
      <c r="BF309" s="170"/>
      <c r="BG309" s="170"/>
      <c r="BH309" s="170"/>
      <c r="BI309" s="170"/>
      <c r="BJ309" s="170"/>
      <c r="BK309" s="167">
        <f t="shared" si="231"/>
        <v>0</v>
      </c>
      <c r="BL309" s="167">
        <f t="shared" si="232"/>
        <v>0</v>
      </c>
      <c r="BM309" s="167">
        <f t="shared" si="233"/>
        <v>0</v>
      </c>
      <c r="BN309" s="167">
        <f t="shared" si="234"/>
        <v>0</v>
      </c>
    </row>
    <row r="310" spans="1:66" s="171" customFormat="1" ht="15.75" hidden="1" customHeight="1" outlineLevel="3" x14ac:dyDescent="0.3">
      <c r="A310" s="169"/>
      <c r="B310" s="169"/>
      <c r="C310" s="169"/>
      <c r="D310" s="169"/>
      <c r="E310" s="169" t="s">
        <v>2589</v>
      </c>
      <c r="F310" s="169" t="s">
        <v>64</v>
      </c>
      <c r="G310" s="169">
        <v>98</v>
      </c>
      <c r="H310" s="169" t="s">
        <v>292</v>
      </c>
      <c r="I310" s="303">
        <f t="shared" si="255"/>
        <v>0</v>
      </c>
      <c r="J310" s="165">
        <f t="shared" si="254"/>
        <v>0</v>
      </c>
      <c r="K310" s="150">
        <f t="shared" si="257"/>
        <v>0</v>
      </c>
      <c r="L310" s="150">
        <f t="shared" si="256"/>
        <v>0</v>
      </c>
      <c r="M310" s="166"/>
      <c r="N310" s="150"/>
      <c r="O310" s="150"/>
      <c r="P310" s="150"/>
      <c r="Q310" s="150"/>
      <c r="R310" s="150"/>
      <c r="S310" s="150"/>
      <c r="T310" s="150"/>
      <c r="U310" s="150"/>
      <c r="V310" s="150"/>
      <c r="W310" s="150"/>
      <c r="X310" s="150"/>
      <c r="Y310" s="150"/>
      <c r="Z310" s="150"/>
      <c r="AA310" s="150"/>
      <c r="AB310" s="150"/>
      <c r="AC310" s="150"/>
      <c r="AD310" s="150"/>
      <c r="AE310" s="150"/>
      <c r="AF310" s="150"/>
      <c r="AG310" s="150"/>
      <c r="AH310" s="150"/>
      <c r="AI310" s="150"/>
      <c r="AJ310" s="150"/>
      <c r="AK310" s="150"/>
      <c r="AL310" s="150"/>
      <c r="AM310" s="150"/>
      <c r="AN310" s="150"/>
      <c r="AO310" s="150"/>
      <c r="AP310" s="150"/>
      <c r="AQ310" s="150"/>
      <c r="AR310" s="150"/>
      <c r="AS310" s="150"/>
      <c r="AT310" s="150"/>
      <c r="AU310" s="150"/>
      <c r="AV310" s="150"/>
      <c r="AW310" s="150"/>
      <c r="AX310" s="150"/>
      <c r="AY310" s="150"/>
      <c r="AZ310" s="150"/>
      <c r="BA310" s="150"/>
      <c r="BB310" s="150"/>
      <c r="BC310" s="170"/>
      <c r="BD310" s="170"/>
      <c r="BE310" s="170"/>
      <c r="BF310" s="170"/>
      <c r="BG310" s="170"/>
      <c r="BH310" s="170"/>
      <c r="BI310" s="170"/>
      <c r="BJ310" s="170"/>
      <c r="BK310" s="167">
        <f t="shared" si="231"/>
        <v>0</v>
      </c>
      <c r="BL310" s="167">
        <f t="shared" si="232"/>
        <v>0</v>
      </c>
      <c r="BM310" s="167">
        <f t="shared" si="233"/>
        <v>0</v>
      </c>
      <c r="BN310" s="167">
        <f t="shared" si="234"/>
        <v>0</v>
      </c>
    </row>
    <row r="311" spans="1:66" s="171" customFormat="1" ht="15.75" hidden="1" customHeight="1" outlineLevel="3" x14ac:dyDescent="0.3">
      <c r="A311" s="169"/>
      <c r="B311" s="169"/>
      <c r="C311" s="169"/>
      <c r="D311" s="169"/>
      <c r="E311" s="169" t="s">
        <v>2589</v>
      </c>
      <c r="F311" s="169" t="s">
        <v>64</v>
      </c>
      <c r="G311" s="169">
        <v>99</v>
      </c>
      <c r="H311" s="169" t="s">
        <v>293</v>
      </c>
      <c r="I311" s="303">
        <f t="shared" si="255"/>
        <v>0</v>
      </c>
      <c r="J311" s="165">
        <f t="shared" si="254"/>
        <v>0</v>
      </c>
      <c r="K311" s="150">
        <f t="shared" si="257"/>
        <v>0</v>
      </c>
      <c r="L311" s="150">
        <f t="shared" si="256"/>
        <v>0</v>
      </c>
      <c r="M311" s="166"/>
      <c r="N311" s="150"/>
      <c r="O311" s="150"/>
      <c r="P311" s="150"/>
      <c r="Q311" s="150"/>
      <c r="R311" s="150"/>
      <c r="S311" s="150"/>
      <c r="T311" s="150"/>
      <c r="U311" s="150"/>
      <c r="V311" s="150"/>
      <c r="W311" s="150"/>
      <c r="X311" s="150"/>
      <c r="Y311" s="150"/>
      <c r="Z311" s="150"/>
      <c r="AA311" s="150"/>
      <c r="AB311" s="150"/>
      <c r="AC311" s="150"/>
      <c r="AD311" s="150"/>
      <c r="AE311" s="150"/>
      <c r="AF311" s="150"/>
      <c r="AG311" s="150"/>
      <c r="AH311" s="150"/>
      <c r="AI311" s="150"/>
      <c r="AJ311" s="150"/>
      <c r="AK311" s="150"/>
      <c r="AL311" s="150"/>
      <c r="AM311" s="150"/>
      <c r="AN311" s="150"/>
      <c r="AO311" s="150"/>
      <c r="AP311" s="150"/>
      <c r="AQ311" s="150"/>
      <c r="AR311" s="150"/>
      <c r="AS311" s="150"/>
      <c r="AT311" s="150"/>
      <c r="AU311" s="150"/>
      <c r="AV311" s="150"/>
      <c r="AW311" s="150"/>
      <c r="AX311" s="150"/>
      <c r="AY311" s="150"/>
      <c r="AZ311" s="150"/>
      <c r="BA311" s="150"/>
      <c r="BB311" s="150"/>
      <c r="BC311" s="170"/>
      <c r="BD311" s="170"/>
      <c r="BE311" s="170"/>
      <c r="BF311" s="170"/>
      <c r="BG311" s="170"/>
      <c r="BH311" s="170"/>
      <c r="BI311" s="170"/>
      <c r="BJ311" s="170"/>
      <c r="BK311" s="167">
        <f t="shared" si="231"/>
        <v>0</v>
      </c>
      <c r="BL311" s="167">
        <f t="shared" si="232"/>
        <v>0</v>
      </c>
      <c r="BM311" s="167">
        <f t="shared" si="233"/>
        <v>0</v>
      </c>
      <c r="BN311" s="167">
        <f t="shared" si="234"/>
        <v>0</v>
      </c>
    </row>
    <row r="312" spans="1:66" s="171" customFormat="1" ht="15.75" hidden="1" customHeight="1" outlineLevel="3" x14ac:dyDescent="0.3">
      <c r="A312" s="169"/>
      <c r="B312" s="169"/>
      <c r="C312" s="169"/>
      <c r="D312" s="169"/>
      <c r="E312" s="169" t="s">
        <v>2589</v>
      </c>
      <c r="F312" s="169" t="s">
        <v>64</v>
      </c>
      <c r="G312" s="169">
        <v>100</v>
      </c>
      <c r="H312" s="169" t="s">
        <v>294</v>
      </c>
      <c r="I312" s="303">
        <f t="shared" si="255"/>
        <v>0</v>
      </c>
      <c r="J312" s="165">
        <f t="shared" si="254"/>
        <v>0</v>
      </c>
      <c r="K312" s="150">
        <f t="shared" si="257"/>
        <v>0</v>
      </c>
      <c r="L312" s="150">
        <f t="shared" si="256"/>
        <v>0</v>
      </c>
      <c r="M312" s="166"/>
      <c r="N312" s="150"/>
      <c r="O312" s="150"/>
      <c r="P312" s="150"/>
      <c r="Q312" s="150"/>
      <c r="R312" s="150"/>
      <c r="S312" s="150"/>
      <c r="T312" s="150"/>
      <c r="U312" s="150"/>
      <c r="V312" s="150"/>
      <c r="W312" s="150"/>
      <c r="X312" s="150"/>
      <c r="Y312" s="150"/>
      <c r="Z312" s="150"/>
      <c r="AA312" s="150"/>
      <c r="AB312" s="150"/>
      <c r="AC312" s="150"/>
      <c r="AD312" s="150"/>
      <c r="AE312" s="150"/>
      <c r="AF312" s="150"/>
      <c r="AG312" s="150"/>
      <c r="AH312" s="150"/>
      <c r="AI312" s="150"/>
      <c r="AJ312" s="150"/>
      <c r="AK312" s="150"/>
      <c r="AL312" s="150"/>
      <c r="AM312" s="150"/>
      <c r="AN312" s="150"/>
      <c r="AO312" s="150"/>
      <c r="AP312" s="150"/>
      <c r="AQ312" s="150"/>
      <c r="AR312" s="150"/>
      <c r="AS312" s="150"/>
      <c r="AT312" s="150"/>
      <c r="AU312" s="150"/>
      <c r="AV312" s="150"/>
      <c r="AW312" s="150"/>
      <c r="AX312" s="150"/>
      <c r="AY312" s="150"/>
      <c r="AZ312" s="150"/>
      <c r="BA312" s="150"/>
      <c r="BB312" s="150"/>
      <c r="BC312" s="170"/>
      <c r="BD312" s="170"/>
      <c r="BE312" s="170"/>
      <c r="BF312" s="170"/>
      <c r="BG312" s="170"/>
      <c r="BH312" s="170"/>
      <c r="BI312" s="170"/>
      <c r="BJ312" s="170"/>
      <c r="BK312" s="167">
        <f t="shared" si="231"/>
        <v>0</v>
      </c>
      <c r="BL312" s="167">
        <f t="shared" si="232"/>
        <v>0</v>
      </c>
      <c r="BM312" s="167">
        <f t="shared" si="233"/>
        <v>0</v>
      </c>
      <c r="BN312" s="167">
        <f t="shared" si="234"/>
        <v>0</v>
      </c>
    </row>
    <row r="313" spans="1:66" s="171" customFormat="1" ht="15.75" hidden="1" customHeight="1" outlineLevel="3" x14ac:dyDescent="0.3">
      <c r="A313" s="169"/>
      <c r="B313" s="169"/>
      <c r="C313" s="169"/>
      <c r="D313" s="169"/>
      <c r="E313" s="169" t="s">
        <v>2589</v>
      </c>
      <c r="F313" s="169" t="s">
        <v>64</v>
      </c>
      <c r="G313" s="169">
        <v>102</v>
      </c>
      <c r="H313" s="169" t="s">
        <v>297</v>
      </c>
      <c r="I313" s="303">
        <f t="shared" si="255"/>
        <v>0</v>
      </c>
      <c r="J313" s="165">
        <f t="shared" si="254"/>
        <v>0</v>
      </c>
      <c r="K313" s="150">
        <f t="shared" si="257"/>
        <v>0</v>
      </c>
      <c r="L313" s="150">
        <f t="shared" si="256"/>
        <v>0</v>
      </c>
      <c r="M313" s="166"/>
      <c r="N313" s="150"/>
      <c r="O313" s="150"/>
      <c r="P313" s="150"/>
      <c r="Q313" s="150"/>
      <c r="R313" s="150"/>
      <c r="S313" s="150"/>
      <c r="T313" s="150"/>
      <c r="U313" s="150"/>
      <c r="V313" s="150"/>
      <c r="W313" s="150"/>
      <c r="X313" s="150"/>
      <c r="Y313" s="150"/>
      <c r="Z313" s="150"/>
      <c r="AA313" s="150"/>
      <c r="AB313" s="150"/>
      <c r="AC313" s="150"/>
      <c r="AD313" s="150"/>
      <c r="AE313" s="150"/>
      <c r="AF313" s="150"/>
      <c r="AG313" s="150"/>
      <c r="AH313" s="150"/>
      <c r="AI313" s="150"/>
      <c r="AJ313" s="150"/>
      <c r="AK313" s="150"/>
      <c r="AL313" s="150"/>
      <c r="AM313" s="150"/>
      <c r="AN313" s="150"/>
      <c r="AO313" s="150"/>
      <c r="AP313" s="150"/>
      <c r="AQ313" s="150"/>
      <c r="AR313" s="150"/>
      <c r="AS313" s="150"/>
      <c r="AT313" s="150"/>
      <c r="AU313" s="150"/>
      <c r="AV313" s="150"/>
      <c r="AW313" s="150"/>
      <c r="AX313" s="150"/>
      <c r="AY313" s="150"/>
      <c r="AZ313" s="150"/>
      <c r="BA313" s="150"/>
      <c r="BB313" s="150"/>
      <c r="BC313" s="170"/>
      <c r="BD313" s="170"/>
      <c r="BE313" s="170"/>
      <c r="BF313" s="170"/>
      <c r="BG313" s="170"/>
      <c r="BH313" s="170"/>
      <c r="BI313" s="170"/>
      <c r="BJ313" s="170"/>
      <c r="BK313" s="167">
        <f t="shared" si="231"/>
        <v>0</v>
      </c>
      <c r="BL313" s="167">
        <f t="shared" si="232"/>
        <v>0</v>
      </c>
      <c r="BM313" s="167">
        <f t="shared" si="233"/>
        <v>0</v>
      </c>
      <c r="BN313" s="167">
        <f t="shared" si="234"/>
        <v>0</v>
      </c>
    </row>
    <row r="314" spans="1:66" s="171" customFormat="1" ht="15.75" hidden="1" customHeight="1" outlineLevel="3" x14ac:dyDescent="0.3">
      <c r="A314" s="169"/>
      <c r="B314" s="169"/>
      <c r="C314" s="169"/>
      <c r="D314" s="169"/>
      <c r="E314" s="169" t="s">
        <v>2589</v>
      </c>
      <c r="F314" s="169" t="s">
        <v>64</v>
      </c>
      <c r="G314" s="169">
        <v>104</v>
      </c>
      <c r="H314" s="169" t="s">
        <v>300</v>
      </c>
      <c r="I314" s="303">
        <f t="shared" si="255"/>
        <v>0</v>
      </c>
      <c r="J314" s="165">
        <f t="shared" si="254"/>
        <v>0</v>
      </c>
      <c r="K314" s="150">
        <f t="shared" si="257"/>
        <v>0</v>
      </c>
      <c r="L314" s="150">
        <f t="shared" si="256"/>
        <v>0</v>
      </c>
      <c r="M314" s="166"/>
      <c r="N314" s="150"/>
      <c r="O314" s="150"/>
      <c r="P314" s="150"/>
      <c r="Q314" s="150"/>
      <c r="R314" s="150"/>
      <c r="S314" s="150"/>
      <c r="T314" s="150"/>
      <c r="U314" s="150"/>
      <c r="V314" s="150"/>
      <c r="W314" s="150"/>
      <c r="X314" s="150"/>
      <c r="Y314" s="150"/>
      <c r="Z314" s="150"/>
      <c r="AA314" s="150"/>
      <c r="AB314" s="150"/>
      <c r="AC314" s="150"/>
      <c r="AD314" s="150"/>
      <c r="AE314" s="150"/>
      <c r="AF314" s="150"/>
      <c r="AG314" s="150"/>
      <c r="AH314" s="150"/>
      <c r="AI314" s="150"/>
      <c r="AJ314" s="150"/>
      <c r="AK314" s="150"/>
      <c r="AL314" s="150"/>
      <c r="AM314" s="150"/>
      <c r="AN314" s="150"/>
      <c r="AO314" s="150"/>
      <c r="AP314" s="150"/>
      <c r="AQ314" s="150"/>
      <c r="AR314" s="150"/>
      <c r="AS314" s="150"/>
      <c r="AT314" s="150"/>
      <c r="AU314" s="150"/>
      <c r="AV314" s="150"/>
      <c r="AW314" s="150"/>
      <c r="AX314" s="150"/>
      <c r="AY314" s="150"/>
      <c r="AZ314" s="150"/>
      <c r="BA314" s="150"/>
      <c r="BB314" s="150"/>
      <c r="BC314" s="170"/>
      <c r="BD314" s="170"/>
      <c r="BE314" s="170"/>
      <c r="BF314" s="170"/>
      <c r="BG314" s="170"/>
      <c r="BH314" s="170"/>
      <c r="BI314" s="170"/>
      <c r="BJ314" s="170"/>
      <c r="BK314" s="167">
        <f t="shared" si="231"/>
        <v>0</v>
      </c>
      <c r="BL314" s="167">
        <f t="shared" si="232"/>
        <v>0</v>
      </c>
      <c r="BM314" s="167">
        <f t="shared" si="233"/>
        <v>0</v>
      </c>
      <c r="BN314" s="167">
        <f t="shared" si="234"/>
        <v>0</v>
      </c>
    </row>
    <row r="315" spans="1:66" s="171" customFormat="1" ht="15.75" hidden="1" customHeight="1" outlineLevel="3" x14ac:dyDescent="0.3">
      <c r="A315" s="169"/>
      <c r="B315" s="169"/>
      <c r="C315" s="169"/>
      <c r="D315" s="169"/>
      <c r="E315" s="169" t="s">
        <v>2589</v>
      </c>
      <c r="F315" s="169" t="s">
        <v>64</v>
      </c>
      <c r="G315" s="169">
        <v>105</v>
      </c>
      <c r="H315" s="169" t="s">
        <v>302</v>
      </c>
      <c r="I315" s="303">
        <f t="shared" si="255"/>
        <v>0</v>
      </c>
      <c r="J315" s="165">
        <f t="shared" si="254"/>
        <v>0</v>
      </c>
      <c r="K315" s="150">
        <f t="shared" si="257"/>
        <v>0</v>
      </c>
      <c r="L315" s="150">
        <f t="shared" si="256"/>
        <v>0</v>
      </c>
      <c r="M315" s="166"/>
      <c r="N315" s="150"/>
      <c r="O315" s="150"/>
      <c r="P315" s="150"/>
      <c r="Q315" s="150"/>
      <c r="R315" s="150"/>
      <c r="S315" s="150"/>
      <c r="T315" s="150"/>
      <c r="U315" s="150"/>
      <c r="V315" s="150"/>
      <c r="W315" s="150"/>
      <c r="X315" s="150"/>
      <c r="Y315" s="150"/>
      <c r="Z315" s="150"/>
      <c r="AA315" s="150"/>
      <c r="AB315" s="150"/>
      <c r="AC315" s="150"/>
      <c r="AD315" s="150"/>
      <c r="AE315" s="150"/>
      <c r="AF315" s="150"/>
      <c r="AG315" s="150"/>
      <c r="AH315" s="150"/>
      <c r="AI315" s="150"/>
      <c r="AJ315" s="150"/>
      <c r="AK315" s="150"/>
      <c r="AL315" s="150"/>
      <c r="AM315" s="150"/>
      <c r="AN315" s="150"/>
      <c r="AO315" s="150"/>
      <c r="AP315" s="150"/>
      <c r="AQ315" s="150"/>
      <c r="AR315" s="150"/>
      <c r="AS315" s="150"/>
      <c r="AT315" s="150"/>
      <c r="AU315" s="150"/>
      <c r="AV315" s="150"/>
      <c r="AW315" s="150"/>
      <c r="AX315" s="150"/>
      <c r="AY315" s="150"/>
      <c r="AZ315" s="150"/>
      <c r="BA315" s="150"/>
      <c r="BB315" s="150"/>
      <c r="BC315" s="170"/>
      <c r="BD315" s="170"/>
      <c r="BE315" s="170"/>
      <c r="BF315" s="170"/>
      <c r="BG315" s="170"/>
      <c r="BH315" s="170"/>
      <c r="BI315" s="170"/>
      <c r="BJ315" s="170"/>
      <c r="BK315" s="167">
        <f t="shared" si="231"/>
        <v>0</v>
      </c>
      <c r="BL315" s="167">
        <f t="shared" si="232"/>
        <v>0</v>
      </c>
      <c r="BM315" s="167">
        <f t="shared" si="233"/>
        <v>0</v>
      </c>
      <c r="BN315" s="167">
        <f t="shared" si="234"/>
        <v>0</v>
      </c>
    </row>
    <row r="316" spans="1:66" s="171" customFormat="1" ht="15.75" hidden="1" customHeight="1" outlineLevel="3" x14ac:dyDescent="0.3">
      <c r="A316" s="169"/>
      <c r="B316" s="169"/>
      <c r="C316" s="169"/>
      <c r="D316" s="169"/>
      <c r="E316" s="169" t="s">
        <v>2589</v>
      </c>
      <c r="F316" s="169" t="s">
        <v>64</v>
      </c>
      <c r="G316" s="169">
        <v>106</v>
      </c>
      <c r="H316" s="169" t="s">
        <v>304</v>
      </c>
      <c r="I316" s="303">
        <f t="shared" si="255"/>
        <v>0</v>
      </c>
      <c r="J316" s="165">
        <f t="shared" si="254"/>
        <v>0</v>
      </c>
      <c r="K316" s="150">
        <f t="shared" si="257"/>
        <v>0</v>
      </c>
      <c r="L316" s="150">
        <f t="shared" si="256"/>
        <v>0</v>
      </c>
      <c r="M316" s="166"/>
      <c r="N316" s="150"/>
      <c r="O316" s="150"/>
      <c r="P316" s="150"/>
      <c r="Q316" s="150"/>
      <c r="R316" s="150"/>
      <c r="S316" s="150"/>
      <c r="T316" s="150"/>
      <c r="U316" s="150"/>
      <c r="V316" s="150"/>
      <c r="W316" s="150"/>
      <c r="X316" s="150"/>
      <c r="Y316" s="150"/>
      <c r="Z316" s="150"/>
      <c r="AA316" s="150"/>
      <c r="AB316" s="150"/>
      <c r="AC316" s="150"/>
      <c r="AD316" s="150"/>
      <c r="AE316" s="150"/>
      <c r="AF316" s="150"/>
      <c r="AG316" s="150"/>
      <c r="AH316" s="150"/>
      <c r="AI316" s="150"/>
      <c r="AJ316" s="150"/>
      <c r="AK316" s="150"/>
      <c r="AL316" s="150"/>
      <c r="AM316" s="150"/>
      <c r="AN316" s="150"/>
      <c r="AO316" s="150"/>
      <c r="AP316" s="150"/>
      <c r="AQ316" s="150"/>
      <c r="AR316" s="150"/>
      <c r="AS316" s="150"/>
      <c r="AT316" s="150"/>
      <c r="AU316" s="150"/>
      <c r="AV316" s="150"/>
      <c r="AW316" s="150"/>
      <c r="AX316" s="150"/>
      <c r="AY316" s="150"/>
      <c r="AZ316" s="150"/>
      <c r="BA316" s="150"/>
      <c r="BB316" s="150"/>
      <c r="BC316" s="170"/>
      <c r="BD316" s="170"/>
      <c r="BE316" s="170"/>
      <c r="BF316" s="170"/>
      <c r="BG316" s="170"/>
      <c r="BH316" s="170"/>
      <c r="BI316" s="170"/>
      <c r="BJ316" s="170"/>
      <c r="BK316" s="167">
        <f t="shared" si="231"/>
        <v>0</v>
      </c>
      <c r="BL316" s="167">
        <f t="shared" si="232"/>
        <v>0</v>
      </c>
      <c r="BM316" s="167">
        <f t="shared" si="233"/>
        <v>0</v>
      </c>
      <c r="BN316" s="167">
        <f t="shared" si="234"/>
        <v>0</v>
      </c>
    </row>
    <row r="317" spans="1:66" s="171" customFormat="1" ht="15.75" hidden="1" customHeight="1" outlineLevel="3" x14ac:dyDescent="0.3">
      <c r="A317" s="169"/>
      <c r="B317" s="169"/>
      <c r="C317" s="169"/>
      <c r="D317" s="169"/>
      <c r="E317" s="169" t="s">
        <v>2589</v>
      </c>
      <c r="F317" s="169" t="s">
        <v>64</v>
      </c>
      <c r="G317" s="169">
        <v>108</v>
      </c>
      <c r="H317" s="169" t="s">
        <v>307</v>
      </c>
      <c r="I317" s="303">
        <f t="shared" si="255"/>
        <v>0</v>
      </c>
      <c r="J317" s="165">
        <f t="shared" si="254"/>
        <v>0</v>
      </c>
      <c r="K317" s="150">
        <f t="shared" si="257"/>
        <v>0</v>
      </c>
      <c r="L317" s="150">
        <f t="shared" si="256"/>
        <v>0</v>
      </c>
      <c r="M317" s="166"/>
      <c r="N317" s="150"/>
      <c r="O317" s="150"/>
      <c r="P317" s="150"/>
      <c r="Q317" s="150"/>
      <c r="R317" s="150"/>
      <c r="S317" s="150"/>
      <c r="T317" s="150"/>
      <c r="U317" s="150"/>
      <c r="V317" s="150"/>
      <c r="W317" s="150"/>
      <c r="X317" s="150"/>
      <c r="Y317" s="150"/>
      <c r="Z317" s="150"/>
      <c r="AA317" s="150"/>
      <c r="AB317" s="150"/>
      <c r="AC317" s="150"/>
      <c r="AD317" s="150"/>
      <c r="AE317" s="150"/>
      <c r="AF317" s="150"/>
      <c r="AG317" s="150"/>
      <c r="AH317" s="150"/>
      <c r="AI317" s="150"/>
      <c r="AJ317" s="150"/>
      <c r="AK317" s="150"/>
      <c r="AL317" s="150"/>
      <c r="AM317" s="150"/>
      <c r="AN317" s="150"/>
      <c r="AO317" s="150"/>
      <c r="AP317" s="150"/>
      <c r="AQ317" s="150"/>
      <c r="AR317" s="150"/>
      <c r="AS317" s="150"/>
      <c r="AT317" s="150"/>
      <c r="AU317" s="150"/>
      <c r="AV317" s="150"/>
      <c r="AW317" s="150"/>
      <c r="AX317" s="150"/>
      <c r="AY317" s="150"/>
      <c r="AZ317" s="150"/>
      <c r="BA317" s="150"/>
      <c r="BB317" s="150"/>
      <c r="BC317" s="170"/>
      <c r="BD317" s="170"/>
      <c r="BE317" s="170"/>
      <c r="BF317" s="170"/>
      <c r="BG317" s="170"/>
      <c r="BH317" s="170"/>
      <c r="BI317" s="170"/>
      <c r="BJ317" s="170"/>
      <c r="BK317" s="167">
        <f t="shared" si="231"/>
        <v>0</v>
      </c>
      <c r="BL317" s="167">
        <f t="shared" si="232"/>
        <v>0</v>
      </c>
      <c r="BM317" s="167">
        <f t="shared" si="233"/>
        <v>0</v>
      </c>
      <c r="BN317" s="167">
        <f t="shared" si="234"/>
        <v>0</v>
      </c>
    </row>
    <row r="318" spans="1:66" s="171" customFormat="1" ht="15.75" hidden="1" customHeight="1" outlineLevel="3" x14ac:dyDescent="0.3">
      <c r="A318" s="169"/>
      <c r="B318" s="169"/>
      <c r="C318" s="169"/>
      <c r="D318" s="169"/>
      <c r="E318" s="169" t="s">
        <v>2589</v>
      </c>
      <c r="F318" s="169" t="s">
        <v>64</v>
      </c>
      <c r="G318" s="169">
        <v>109</v>
      </c>
      <c r="H318" s="169" t="s">
        <v>309</v>
      </c>
      <c r="I318" s="303">
        <f t="shared" si="255"/>
        <v>0</v>
      </c>
      <c r="J318" s="165">
        <f t="shared" si="254"/>
        <v>0</v>
      </c>
      <c r="K318" s="150">
        <f t="shared" si="257"/>
        <v>0</v>
      </c>
      <c r="L318" s="150">
        <f t="shared" si="256"/>
        <v>0</v>
      </c>
      <c r="M318" s="166"/>
      <c r="N318" s="150"/>
      <c r="O318" s="150"/>
      <c r="P318" s="150"/>
      <c r="Q318" s="150"/>
      <c r="R318" s="150"/>
      <c r="S318" s="150"/>
      <c r="T318" s="150"/>
      <c r="U318" s="150"/>
      <c r="V318" s="150"/>
      <c r="W318" s="150"/>
      <c r="X318" s="150"/>
      <c r="Y318" s="150"/>
      <c r="Z318" s="150"/>
      <c r="AA318" s="150"/>
      <c r="AB318" s="150"/>
      <c r="AC318" s="150"/>
      <c r="AD318" s="150"/>
      <c r="AE318" s="150"/>
      <c r="AF318" s="150"/>
      <c r="AG318" s="150"/>
      <c r="AH318" s="150"/>
      <c r="AI318" s="150"/>
      <c r="AJ318" s="150"/>
      <c r="AK318" s="150"/>
      <c r="AL318" s="150"/>
      <c r="AM318" s="150"/>
      <c r="AN318" s="150"/>
      <c r="AO318" s="150"/>
      <c r="AP318" s="150"/>
      <c r="AQ318" s="150"/>
      <c r="AR318" s="150"/>
      <c r="AS318" s="150"/>
      <c r="AT318" s="150"/>
      <c r="AU318" s="150"/>
      <c r="AV318" s="150"/>
      <c r="AW318" s="150"/>
      <c r="AX318" s="150"/>
      <c r="AY318" s="150"/>
      <c r="AZ318" s="150"/>
      <c r="BA318" s="150"/>
      <c r="BB318" s="150"/>
      <c r="BC318" s="170"/>
      <c r="BD318" s="170"/>
      <c r="BE318" s="170"/>
      <c r="BF318" s="170"/>
      <c r="BG318" s="170"/>
      <c r="BH318" s="170"/>
      <c r="BI318" s="170"/>
      <c r="BJ318" s="170"/>
      <c r="BK318" s="167">
        <f t="shared" si="231"/>
        <v>0</v>
      </c>
      <c r="BL318" s="167">
        <f t="shared" si="232"/>
        <v>0</v>
      </c>
      <c r="BM318" s="167">
        <f t="shared" si="233"/>
        <v>0</v>
      </c>
      <c r="BN318" s="167">
        <f t="shared" si="234"/>
        <v>0</v>
      </c>
    </row>
    <row r="319" spans="1:66" s="171" customFormat="1" ht="15.75" hidden="1" customHeight="1" outlineLevel="3" x14ac:dyDescent="0.3">
      <c r="A319" s="169"/>
      <c r="B319" s="169"/>
      <c r="C319" s="169"/>
      <c r="D319" s="169"/>
      <c r="E319" s="169" t="s">
        <v>2589</v>
      </c>
      <c r="F319" s="169" t="s">
        <v>64</v>
      </c>
      <c r="G319" s="169">
        <v>110</v>
      </c>
      <c r="H319" s="169" t="s">
        <v>310</v>
      </c>
      <c r="I319" s="303">
        <f t="shared" si="255"/>
        <v>0</v>
      </c>
      <c r="J319" s="165">
        <f t="shared" si="254"/>
        <v>0</v>
      </c>
      <c r="K319" s="150">
        <f t="shared" si="257"/>
        <v>0</v>
      </c>
      <c r="L319" s="150">
        <f t="shared" si="256"/>
        <v>0</v>
      </c>
      <c r="M319" s="166"/>
      <c r="N319" s="150"/>
      <c r="O319" s="150"/>
      <c r="P319" s="150"/>
      <c r="Q319" s="150"/>
      <c r="R319" s="150"/>
      <c r="S319" s="150"/>
      <c r="T319" s="150"/>
      <c r="U319" s="150"/>
      <c r="V319" s="150"/>
      <c r="W319" s="150"/>
      <c r="X319" s="150"/>
      <c r="Y319" s="150"/>
      <c r="Z319" s="150"/>
      <c r="AA319" s="150"/>
      <c r="AB319" s="150"/>
      <c r="AC319" s="150"/>
      <c r="AD319" s="150"/>
      <c r="AE319" s="150"/>
      <c r="AF319" s="150"/>
      <c r="AG319" s="150"/>
      <c r="AH319" s="150"/>
      <c r="AI319" s="150"/>
      <c r="AJ319" s="150"/>
      <c r="AK319" s="150"/>
      <c r="AL319" s="150"/>
      <c r="AM319" s="150"/>
      <c r="AN319" s="150"/>
      <c r="AO319" s="150"/>
      <c r="AP319" s="150"/>
      <c r="AQ319" s="150"/>
      <c r="AR319" s="150"/>
      <c r="AS319" s="150"/>
      <c r="AT319" s="150"/>
      <c r="AU319" s="150"/>
      <c r="AV319" s="150"/>
      <c r="AW319" s="150"/>
      <c r="AX319" s="150"/>
      <c r="AY319" s="150"/>
      <c r="AZ319" s="150"/>
      <c r="BA319" s="150"/>
      <c r="BB319" s="150"/>
      <c r="BC319" s="170"/>
      <c r="BD319" s="170"/>
      <c r="BE319" s="170"/>
      <c r="BF319" s="170"/>
      <c r="BG319" s="170"/>
      <c r="BH319" s="170"/>
      <c r="BI319" s="170"/>
      <c r="BJ319" s="170"/>
      <c r="BK319" s="167">
        <f t="shared" si="231"/>
        <v>0</v>
      </c>
      <c r="BL319" s="167">
        <f t="shared" si="232"/>
        <v>0</v>
      </c>
      <c r="BM319" s="167">
        <f t="shared" si="233"/>
        <v>0</v>
      </c>
      <c r="BN319" s="167">
        <f t="shared" si="234"/>
        <v>0</v>
      </c>
    </row>
    <row r="320" spans="1:66" s="171" customFormat="1" ht="15.75" hidden="1" customHeight="1" outlineLevel="3" x14ac:dyDescent="0.3">
      <c r="A320" s="169"/>
      <c r="B320" s="169"/>
      <c r="C320" s="169"/>
      <c r="D320" s="169"/>
      <c r="E320" s="169" t="s">
        <v>2589</v>
      </c>
      <c r="F320" s="169" t="s">
        <v>64</v>
      </c>
      <c r="G320" s="169">
        <v>112</v>
      </c>
      <c r="H320" s="169" t="s">
        <v>313</v>
      </c>
      <c r="I320" s="303">
        <f t="shared" si="255"/>
        <v>0</v>
      </c>
      <c r="J320" s="165">
        <f t="shared" si="254"/>
        <v>0</v>
      </c>
      <c r="K320" s="150">
        <f t="shared" si="257"/>
        <v>0</v>
      </c>
      <c r="L320" s="150">
        <f t="shared" si="256"/>
        <v>0</v>
      </c>
      <c r="M320" s="166"/>
      <c r="N320" s="150"/>
      <c r="O320" s="150"/>
      <c r="P320" s="150"/>
      <c r="Q320" s="150"/>
      <c r="R320" s="150"/>
      <c r="S320" s="150"/>
      <c r="T320" s="150"/>
      <c r="U320" s="150"/>
      <c r="V320" s="150"/>
      <c r="W320" s="150"/>
      <c r="X320" s="150"/>
      <c r="Y320" s="150"/>
      <c r="Z320" s="150"/>
      <c r="AA320" s="150"/>
      <c r="AB320" s="150"/>
      <c r="AC320" s="150"/>
      <c r="AD320" s="150"/>
      <c r="AE320" s="150"/>
      <c r="AF320" s="150"/>
      <c r="AG320" s="150"/>
      <c r="AH320" s="150"/>
      <c r="AI320" s="150"/>
      <c r="AJ320" s="150"/>
      <c r="AK320" s="150"/>
      <c r="AL320" s="150"/>
      <c r="AM320" s="150"/>
      <c r="AN320" s="150"/>
      <c r="AO320" s="150"/>
      <c r="AP320" s="150"/>
      <c r="AQ320" s="150"/>
      <c r="AR320" s="150"/>
      <c r="AS320" s="150"/>
      <c r="AT320" s="150"/>
      <c r="AU320" s="150"/>
      <c r="AV320" s="150"/>
      <c r="AW320" s="150"/>
      <c r="AX320" s="150"/>
      <c r="AY320" s="150"/>
      <c r="AZ320" s="150"/>
      <c r="BA320" s="150"/>
      <c r="BB320" s="150"/>
      <c r="BC320" s="170"/>
      <c r="BD320" s="170"/>
      <c r="BE320" s="170"/>
      <c r="BF320" s="170"/>
      <c r="BG320" s="170"/>
      <c r="BH320" s="170"/>
      <c r="BI320" s="170"/>
      <c r="BJ320" s="170"/>
      <c r="BK320" s="167">
        <f t="shared" si="231"/>
        <v>0</v>
      </c>
      <c r="BL320" s="167">
        <f t="shared" si="232"/>
        <v>0</v>
      </c>
      <c r="BM320" s="167">
        <f t="shared" si="233"/>
        <v>0</v>
      </c>
      <c r="BN320" s="167">
        <f t="shared" si="234"/>
        <v>0</v>
      </c>
    </row>
    <row r="321" spans="1:66" s="171" customFormat="1" ht="15.75" hidden="1" customHeight="1" outlineLevel="3" x14ac:dyDescent="0.3">
      <c r="A321" s="169"/>
      <c r="B321" s="169"/>
      <c r="C321" s="169"/>
      <c r="D321" s="169"/>
      <c r="E321" s="169" t="s">
        <v>2589</v>
      </c>
      <c r="F321" s="169" t="s">
        <v>64</v>
      </c>
      <c r="G321" s="169">
        <v>113</v>
      </c>
      <c r="H321" s="169" t="s">
        <v>315</v>
      </c>
      <c r="I321" s="303">
        <f t="shared" si="255"/>
        <v>0</v>
      </c>
      <c r="J321" s="165">
        <f t="shared" si="254"/>
        <v>0</v>
      </c>
      <c r="K321" s="150">
        <f t="shared" si="257"/>
        <v>0</v>
      </c>
      <c r="L321" s="150">
        <f t="shared" si="256"/>
        <v>0</v>
      </c>
      <c r="M321" s="166"/>
      <c r="N321" s="150"/>
      <c r="O321" s="150"/>
      <c r="P321" s="150"/>
      <c r="Q321" s="150"/>
      <c r="R321" s="150"/>
      <c r="S321" s="150"/>
      <c r="T321" s="150"/>
      <c r="U321" s="150"/>
      <c r="V321" s="150"/>
      <c r="W321" s="150"/>
      <c r="X321" s="150"/>
      <c r="Y321" s="150"/>
      <c r="Z321" s="150"/>
      <c r="AA321" s="150"/>
      <c r="AB321" s="150"/>
      <c r="AC321" s="150"/>
      <c r="AD321" s="150"/>
      <c r="AE321" s="150"/>
      <c r="AF321" s="150"/>
      <c r="AG321" s="150"/>
      <c r="AH321" s="150"/>
      <c r="AI321" s="150"/>
      <c r="AJ321" s="150"/>
      <c r="AK321" s="150"/>
      <c r="AL321" s="150"/>
      <c r="AM321" s="150"/>
      <c r="AN321" s="150"/>
      <c r="AO321" s="150"/>
      <c r="AP321" s="150"/>
      <c r="AQ321" s="150"/>
      <c r="AR321" s="150"/>
      <c r="AS321" s="150"/>
      <c r="AT321" s="150"/>
      <c r="AU321" s="150"/>
      <c r="AV321" s="150"/>
      <c r="AW321" s="150"/>
      <c r="AX321" s="150"/>
      <c r="AY321" s="150"/>
      <c r="AZ321" s="150"/>
      <c r="BA321" s="150"/>
      <c r="BB321" s="150"/>
      <c r="BC321" s="170"/>
      <c r="BD321" s="170"/>
      <c r="BE321" s="170"/>
      <c r="BF321" s="170"/>
      <c r="BG321" s="170"/>
      <c r="BH321" s="170"/>
      <c r="BI321" s="170"/>
      <c r="BJ321" s="170"/>
      <c r="BK321" s="167">
        <f t="shared" si="231"/>
        <v>0</v>
      </c>
      <c r="BL321" s="167">
        <f t="shared" si="232"/>
        <v>0</v>
      </c>
      <c r="BM321" s="167">
        <f t="shared" si="233"/>
        <v>0</v>
      </c>
      <c r="BN321" s="167">
        <f t="shared" si="234"/>
        <v>0</v>
      </c>
    </row>
    <row r="322" spans="1:66" s="171" customFormat="1" ht="15.75" hidden="1" customHeight="1" outlineLevel="3" x14ac:dyDescent="0.3">
      <c r="A322" s="169"/>
      <c r="B322" s="169"/>
      <c r="C322" s="169"/>
      <c r="D322" s="169"/>
      <c r="E322" s="169" t="s">
        <v>2589</v>
      </c>
      <c r="F322" s="169" t="s">
        <v>64</v>
      </c>
      <c r="G322" s="169">
        <v>115</v>
      </c>
      <c r="H322" s="169" t="s">
        <v>319</v>
      </c>
      <c r="I322" s="303">
        <f t="shared" si="255"/>
        <v>0</v>
      </c>
      <c r="J322" s="165">
        <f t="shared" si="254"/>
        <v>0</v>
      </c>
      <c r="K322" s="150">
        <f t="shared" si="257"/>
        <v>0</v>
      </c>
      <c r="L322" s="150">
        <f t="shared" si="256"/>
        <v>0</v>
      </c>
      <c r="M322" s="166"/>
      <c r="N322" s="150"/>
      <c r="O322" s="150"/>
      <c r="P322" s="150"/>
      <c r="Q322" s="150"/>
      <c r="R322" s="150"/>
      <c r="S322" s="150"/>
      <c r="T322" s="150"/>
      <c r="U322" s="150"/>
      <c r="V322" s="150"/>
      <c r="W322" s="150"/>
      <c r="X322" s="150"/>
      <c r="Y322" s="150"/>
      <c r="Z322" s="150"/>
      <c r="AA322" s="150"/>
      <c r="AB322" s="150"/>
      <c r="AC322" s="150"/>
      <c r="AD322" s="150"/>
      <c r="AE322" s="150"/>
      <c r="AF322" s="150"/>
      <c r="AG322" s="150"/>
      <c r="AH322" s="150"/>
      <c r="AI322" s="150"/>
      <c r="AJ322" s="150"/>
      <c r="AK322" s="150"/>
      <c r="AL322" s="150"/>
      <c r="AM322" s="150"/>
      <c r="AN322" s="150"/>
      <c r="AO322" s="150"/>
      <c r="AP322" s="150"/>
      <c r="AQ322" s="150"/>
      <c r="AR322" s="150"/>
      <c r="AS322" s="150"/>
      <c r="AT322" s="150"/>
      <c r="AU322" s="150"/>
      <c r="AV322" s="150"/>
      <c r="AW322" s="150"/>
      <c r="AX322" s="150"/>
      <c r="AY322" s="150"/>
      <c r="AZ322" s="150"/>
      <c r="BA322" s="150"/>
      <c r="BB322" s="150"/>
      <c r="BC322" s="170"/>
      <c r="BD322" s="170"/>
      <c r="BE322" s="170"/>
      <c r="BF322" s="170"/>
      <c r="BG322" s="170"/>
      <c r="BH322" s="170"/>
      <c r="BI322" s="170"/>
      <c r="BJ322" s="170"/>
      <c r="BK322" s="167">
        <f t="shared" si="231"/>
        <v>0</v>
      </c>
      <c r="BL322" s="167">
        <f t="shared" si="232"/>
        <v>0</v>
      </c>
      <c r="BM322" s="167">
        <f t="shared" si="233"/>
        <v>0</v>
      </c>
      <c r="BN322" s="167">
        <f t="shared" si="234"/>
        <v>0</v>
      </c>
    </row>
    <row r="323" spans="1:66" s="171" customFormat="1" ht="15.75" hidden="1" customHeight="1" outlineLevel="3" x14ac:dyDescent="0.3">
      <c r="A323" s="169"/>
      <c r="B323" s="169"/>
      <c r="C323" s="169"/>
      <c r="D323" s="169"/>
      <c r="E323" s="169" t="s">
        <v>2589</v>
      </c>
      <c r="F323" s="169" t="s">
        <v>64</v>
      </c>
      <c r="G323" s="169">
        <v>116</v>
      </c>
      <c r="H323" s="169" t="s">
        <v>321</v>
      </c>
      <c r="I323" s="303">
        <f t="shared" si="255"/>
        <v>0</v>
      </c>
      <c r="J323" s="165">
        <f t="shared" si="254"/>
        <v>0</v>
      </c>
      <c r="K323" s="150">
        <f t="shared" si="257"/>
        <v>0</v>
      </c>
      <c r="L323" s="150">
        <f t="shared" ref="L323:L354" si="258">SUM(N323:BJ323)</f>
        <v>0</v>
      </c>
      <c r="M323" s="166"/>
      <c r="N323" s="150"/>
      <c r="O323" s="150"/>
      <c r="P323" s="150"/>
      <c r="Q323" s="150"/>
      <c r="R323" s="150"/>
      <c r="S323" s="150"/>
      <c r="T323" s="150"/>
      <c r="U323" s="150"/>
      <c r="V323" s="150"/>
      <c r="W323" s="150"/>
      <c r="X323" s="150"/>
      <c r="Y323" s="150"/>
      <c r="Z323" s="150"/>
      <c r="AA323" s="150"/>
      <c r="AB323" s="150"/>
      <c r="AC323" s="150"/>
      <c r="AD323" s="150"/>
      <c r="AE323" s="150"/>
      <c r="AF323" s="150"/>
      <c r="AG323" s="150"/>
      <c r="AH323" s="150"/>
      <c r="AI323" s="150"/>
      <c r="AJ323" s="150"/>
      <c r="AK323" s="150"/>
      <c r="AL323" s="150"/>
      <c r="AM323" s="150"/>
      <c r="AN323" s="150"/>
      <c r="AO323" s="150"/>
      <c r="AP323" s="150"/>
      <c r="AQ323" s="150"/>
      <c r="AR323" s="150"/>
      <c r="AS323" s="150"/>
      <c r="AT323" s="150"/>
      <c r="AU323" s="150"/>
      <c r="AV323" s="150"/>
      <c r="AW323" s="150"/>
      <c r="AX323" s="150"/>
      <c r="AY323" s="150"/>
      <c r="AZ323" s="150"/>
      <c r="BA323" s="150"/>
      <c r="BB323" s="150"/>
      <c r="BC323" s="170"/>
      <c r="BD323" s="170"/>
      <c r="BE323" s="170"/>
      <c r="BF323" s="170"/>
      <c r="BG323" s="170"/>
      <c r="BH323" s="170"/>
      <c r="BI323" s="170"/>
      <c r="BJ323" s="170"/>
      <c r="BK323" s="167">
        <f t="shared" ref="BK323:BK386" si="259">+SUM(N323:AA323)</f>
        <v>0</v>
      </c>
      <c r="BL323" s="167">
        <f t="shared" ref="BL323:BL386" si="260">+AB323</f>
        <v>0</v>
      </c>
      <c r="BM323" s="167">
        <f t="shared" ref="BM323:BM386" si="261">+SUM(AC323:AO323)</f>
        <v>0</v>
      </c>
      <c r="BN323" s="167">
        <f t="shared" ref="BN323:BN386" si="262">+SUM(AP323:BJ323)</f>
        <v>0</v>
      </c>
    </row>
    <row r="324" spans="1:66" s="171" customFormat="1" ht="15.75" hidden="1" customHeight="1" outlineLevel="3" x14ac:dyDescent="0.3">
      <c r="A324" s="169"/>
      <c r="B324" s="169"/>
      <c r="C324" s="169"/>
      <c r="D324" s="169"/>
      <c r="E324" s="169" t="s">
        <v>2589</v>
      </c>
      <c r="F324" s="169" t="s">
        <v>64</v>
      </c>
      <c r="G324" s="169">
        <v>117</v>
      </c>
      <c r="H324" s="169" t="s">
        <v>3258</v>
      </c>
      <c r="I324" s="303">
        <f t="shared" si="255"/>
        <v>0</v>
      </c>
      <c r="J324" s="165">
        <f t="shared" si="254"/>
        <v>0</v>
      </c>
      <c r="K324" s="150">
        <f t="shared" si="257"/>
        <v>0</v>
      </c>
      <c r="L324" s="150">
        <f t="shared" si="258"/>
        <v>0</v>
      </c>
      <c r="M324" s="166"/>
      <c r="N324" s="150"/>
      <c r="O324" s="150"/>
      <c r="P324" s="150"/>
      <c r="Q324" s="150"/>
      <c r="R324" s="150"/>
      <c r="S324" s="150"/>
      <c r="T324" s="150"/>
      <c r="U324" s="150"/>
      <c r="V324" s="150"/>
      <c r="W324" s="150"/>
      <c r="X324" s="150"/>
      <c r="Y324" s="150"/>
      <c r="Z324" s="150"/>
      <c r="AA324" s="150"/>
      <c r="AB324" s="150"/>
      <c r="AC324" s="150"/>
      <c r="AD324" s="150"/>
      <c r="AE324" s="150"/>
      <c r="AF324" s="150"/>
      <c r="AG324" s="150"/>
      <c r="AH324" s="150"/>
      <c r="AI324" s="150"/>
      <c r="AJ324" s="150"/>
      <c r="AK324" s="150"/>
      <c r="AL324" s="150"/>
      <c r="AM324" s="150"/>
      <c r="AN324" s="150"/>
      <c r="AO324" s="150"/>
      <c r="AP324" s="150"/>
      <c r="AQ324" s="150"/>
      <c r="AR324" s="150"/>
      <c r="AS324" s="150"/>
      <c r="AT324" s="150"/>
      <c r="AU324" s="150"/>
      <c r="AV324" s="150"/>
      <c r="AW324" s="150"/>
      <c r="AX324" s="150"/>
      <c r="AY324" s="150"/>
      <c r="AZ324" s="150"/>
      <c r="BA324" s="150"/>
      <c r="BB324" s="150"/>
      <c r="BC324" s="170"/>
      <c r="BD324" s="170"/>
      <c r="BE324" s="170"/>
      <c r="BF324" s="170"/>
      <c r="BG324" s="170"/>
      <c r="BH324" s="170"/>
      <c r="BI324" s="170"/>
      <c r="BJ324" s="170"/>
      <c r="BK324" s="167">
        <f t="shared" si="259"/>
        <v>0</v>
      </c>
      <c r="BL324" s="167">
        <f t="shared" si="260"/>
        <v>0</v>
      </c>
      <c r="BM324" s="167">
        <f t="shared" si="261"/>
        <v>0</v>
      </c>
      <c r="BN324" s="167">
        <f t="shared" si="262"/>
        <v>0</v>
      </c>
    </row>
    <row r="325" spans="1:66" s="171" customFormat="1" ht="15.75" hidden="1" customHeight="1" outlineLevel="3" x14ac:dyDescent="0.3">
      <c r="A325" s="169"/>
      <c r="B325" s="169"/>
      <c r="C325" s="169"/>
      <c r="D325" s="169"/>
      <c r="E325" s="169" t="s">
        <v>2589</v>
      </c>
      <c r="F325" s="169" t="s">
        <v>64</v>
      </c>
      <c r="G325" s="169">
        <v>118</v>
      </c>
      <c r="H325" s="169" t="s">
        <v>3259</v>
      </c>
      <c r="I325" s="303">
        <f t="shared" si="255"/>
        <v>0</v>
      </c>
      <c r="J325" s="165">
        <f t="shared" si="254"/>
        <v>0</v>
      </c>
      <c r="K325" s="150">
        <f t="shared" si="257"/>
        <v>0</v>
      </c>
      <c r="L325" s="150">
        <f t="shared" si="258"/>
        <v>0</v>
      </c>
      <c r="M325" s="166"/>
      <c r="N325" s="150"/>
      <c r="O325" s="150"/>
      <c r="P325" s="150"/>
      <c r="Q325" s="150"/>
      <c r="R325" s="150"/>
      <c r="S325" s="150"/>
      <c r="T325" s="150"/>
      <c r="U325" s="150"/>
      <c r="V325" s="150"/>
      <c r="W325" s="150"/>
      <c r="X325" s="150"/>
      <c r="Y325" s="150"/>
      <c r="Z325" s="150"/>
      <c r="AA325" s="150"/>
      <c r="AB325" s="150"/>
      <c r="AC325" s="150"/>
      <c r="AD325" s="150"/>
      <c r="AE325" s="150"/>
      <c r="AF325" s="150"/>
      <c r="AG325" s="150"/>
      <c r="AH325" s="150"/>
      <c r="AI325" s="150"/>
      <c r="AJ325" s="150"/>
      <c r="AK325" s="150"/>
      <c r="AL325" s="150"/>
      <c r="AM325" s="150"/>
      <c r="AN325" s="150"/>
      <c r="AO325" s="150"/>
      <c r="AP325" s="150"/>
      <c r="AQ325" s="150"/>
      <c r="AR325" s="150"/>
      <c r="AS325" s="150"/>
      <c r="AT325" s="150"/>
      <c r="AU325" s="150"/>
      <c r="AV325" s="150"/>
      <c r="AW325" s="150"/>
      <c r="AX325" s="150"/>
      <c r="AY325" s="150"/>
      <c r="AZ325" s="150"/>
      <c r="BA325" s="150"/>
      <c r="BB325" s="150"/>
      <c r="BC325" s="170"/>
      <c r="BD325" s="170"/>
      <c r="BE325" s="170"/>
      <c r="BF325" s="170"/>
      <c r="BG325" s="170"/>
      <c r="BH325" s="170"/>
      <c r="BI325" s="170"/>
      <c r="BJ325" s="170"/>
      <c r="BK325" s="167">
        <f t="shared" si="259"/>
        <v>0</v>
      </c>
      <c r="BL325" s="167">
        <f t="shared" si="260"/>
        <v>0</v>
      </c>
      <c r="BM325" s="167">
        <f t="shared" si="261"/>
        <v>0</v>
      </c>
      <c r="BN325" s="167">
        <f t="shared" si="262"/>
        <v>0</v>
      </c>
    </row>
    <row r="326" spans="1:66" s="171" customFormat="1" ht="15.75" hidden="1" customHeight="1" outlineLevel="3" x14ac:dyDescent="0.3">
      <c r="A326" s="169"/>
      <c r="B326" s="169"/>
      <c r="C326" s="169"/>
      <c r="D326" s="169"/>
      <c r="E326" s="169" t="s">
        <v>2589</v>
      </c>
      <c r="F326" s="169" t="s">
        <v>64</v>
      </c>
      <c r="G326" s="169">
        <v>119</v>
      </c>
      <c r="H326" s="169" t="s">
        <v>324</v>
      </c>
      <c r="I326" s="303">
        <f t="shared" si="255"/>
        <v>0</v>
      </c>
      <c r="J326" s="165">
        <f t="shared" si="254"/>
        <v>0</v>
      </c>
      <c r="K326" s="150">
        <f t="shared" si="257"/>
        <v>0</v>
      </c>
      <c r="L326" s="150">
        <f t="shared" si="258"/>
        <v>0</v>
      </c>
      <c r="M326" s="166"/>
      <c r="N326" s="150"/>
      <c r="O326" s="150"/>
      <c r="P326" s="150"/>
      <c r="Q326" s="150"/>
      <c r="R326" s="150"/>
      <c r="S326" s="150"/>
      <c r="T326" s="150"/>
      <c r="U326" s="150"/>
      <c r="V326" s="150"/>
      <c r="W326" s="150"/>
      <c r="X326" s="150"/>
      <c r="Y326" s="150"/>
      <c r="Z326" s="150"/>
      <c r="AA326" s="150"/>
      <c r="AB326" s="150"/>
      <c r="AC326" s="150"/>
      <c r="AD326" s="150"/>
      <c r="AE326" s="150"/>
      <c r="AF326" s="150"/>
      <c r="AG326" s="150"/>
      <c r="AH326" s="150"/>
      <c r="AI326" s="150"/>
      <c r="AJ326" s="150"/>
      <c r="AK326" s="150"/>
      <c r="AL326" s="150"/>
      <c r="AM326" s="150"/>
      <c r="AN326" s="150"/>
      <c r="AO326" s="150"/>
      <c r="AP326" s="150"/>
      <c r="AQ326" s="150"/>
      <c r="AR326" s="150"/>
      <c r="AS326" s="150"/>
      <c r="AT326" s="150"/>
      <c r="AU326" s="150"/>
      <c r="AV326" s="150"/>
      <c r="AW326" s="150"/>
      <c r="AX326" s="150"/>
      <c r="AY326" s="150"/>
      <c r="AZ326" s="150"/>
      <c r="BA326" s="150"/>
      <c r="BB326" s="150"/>
      <c r="BC326" s="170"/>
      <c r="BD326" s="170"/>
      <c r="BE326" s="170"/>
      <c r="BF326" s="170"/>
      <c r="BG326" s="170"/>
      <c r="BH326" s="170"/>
      <c r="BI326" s="170"/>
      <c r="BJ326" s="170"/>
      <c r="BK326" s="167">
        <f t="shared" si="259"/>
        <v>0</v>
      </c>
      <c r="BL326" s="167">
        <f t="shared" si="260"/>
        <v>0</v>
      </c>
      <c r="BM326" s="167">
        <f t="shared" si="261"/>
        <v>0</v>
      </c>
      <c r="BN326" s="167">
        <f t="shared" si="262"/>
        <v>0</v>
      </c>
    </row>
    <row r="327" spans="1:66" s="171" customFormat="1" ht="15.75" hidden="1" customHeight="1" outlineLevel="3" x14ac:dyDescent="0.3">
      <c r="A327" s="169"/>
      <c r="B327" s="169"/>
      <c r="C327" s="169"/>
      <c r="D327" s="169"/>
      <c r="E327" s="169" t="s">
        <v>2589</v>
      </c>
      <c r="F327" s="169" t="s">
        <v>64</v>
      </c>
      <c r="G327" s="169">
        <v>120</v>
      </c>
      <c r="H327" s="169" t="s">
        <v>3260</v>
      </c>
      <c r="I327" s="303">
        <f t="shared" si="255"/>
        <v>491122</v>
      </c>
      <c r="J327" s="165">
        <f t="shared" si="254"/>
        <v>491122</v>
      </c>
      <c r="K327" s="150">
        <f t="shared" si="257"/>
        <v>0</v>
      </c>
      <c r="L327" s="150">
        <f t="shared" si="258"/>
        <v>491122</v>
      </c>
      <c r="M327" s="166"/>
      <c r="N327" s="150"/>
      <c r="O327" s="150">
        <v>30000</v>
      </c>
      <c r="P327" s="150"/>
      <c r="Q327" s="150"/>
      <c r="R327" s="150"/>
      <c r="S327" s="150"/>
      <c r="T327" s="150"/>
      <c r="U327" s="150"/>
      <c r="V327" s="150">
        <v>13642</v>
      </c>
      <c r="W327" s="150">
        <v>30000</v>
      </c>
      <c r="X327" s="150"/>
      <c r="Y327" s="150"/>
      <c r="Z327" s="150">
        <v>157480</v>
      </c>
      <c r="AA327" s="150">
        <v>260000</v>
      </c>
      <c r="AB327" s="150"/>
      <c r="AC327" s="150"/>
      <c r="AD327" s="150"/>
      <c r="AE327" s="150"/>
      <c r="AF327" s="150"/>
      <c r="AG327" s="150"/>
      <c r="AH327" s="150"/>
      <c r="AI327" s="150"/>
      <c r="AJ327" s="150"/>
      <c r="AK327" s="150"/>
      <c r="AL327" s="150"/>
      <c r="AM327" s="150"/>
      <c r="AN327" s="150"/>
      <c r="AO327" s="150"/>
      <c r="AP327" s="150"/>
      <c r="AQ327" s="150"/>
      <c r="AR327" s="150"/>
      <c r="AS327" s="150"/>
      <c r="AT327" s="150"/>
      <c r="AU327" s="150"/>
      <c r="AV327" s="150"/>
      <c r="AW327" s="150"/>
      <c r="AX327" s="150"/>
      <c r="AY327" s="150"/>
      <c r="AZ327" s="150"/>
      <c r="BA327" s="150"/>
      <c r="BB327" s="150"/>
      <c r="BC327" s="170"/>
      <c r="BD327" s="170"/>
      <c r="BE327" s="170"/>
      <c r="BF327" s="170"/>
      <c r="BG327" s="170"/>
      <c r="BH327" s="170"/>
      <c r="BI327" s="170"/>
      <c r="BJ327" s="170"/>
      <c r="BK327" s="167">
        <f t="shared" si="259"/>
        <v>491122</v>
      </c>
      <c r="BL327" s="167">
        <f t="shared" si="260"/>
        <v>0</v>
      </c>
      <c r="BM327" s="167">
        <f t="shared" si="261"/>
        <v>0</v>
      </c>
      <c r="BN327" s="167">
        <f t="shared" si="262"/>
        <v>0</v>
      </c>
    </row>
    <row r="328" spans="1:66" s="171" customFormat="1" ht="15.75" hidden="1" customHeight="1" outlineLevel="3" x14ac:dyDescent="0.3">
      <c r="A328" s="169"/>
      <c r="B328" s="169"/>
      <c r="C328" s="169"/>
      <c r="D328" s="169"/>
      <c r="E328" s="169" t="s">
        <v>2589</v>
      </c>
      <c r="F328" s="169" t="s">
        <v>64</v>
      </c>
      <c r="G328" s="169">
        <v>122</v>
      </c>
      <c r="H328" s="169" t="s">
        <v>328</v>
      </c>
      <c r="I328" s="303">
        <f t="shared" si="255"/>
        <v>0</v>
      </c>
      <c r="J328" s="165">
        <f t="shared" si="254"/>
        <v>0</v>
      </c>
      <c r="K328" s="150">
        <f t="shared" si="257"/>
        <v>0</v>
      </c>
      <c r="L328" s="150">
        <f t="shared" si="258"/>
        <v>0</v>
      </c>
      <c r="M328" s="166"/>
      <c r="N328" s="150"/>
      <c r="O328" s="150"/>
      <c r="P328" s="150"/>
      <c r="Q328" s="150"/>
      <c r="R328" s="150"/>
      <c r="S328" s="150"/>
      <c r="T328" s="150"/>
      <c r="U328" s="150"/>
      <c r="V328" s="150"/>
      <c r="W328" s="150"/>
      <c r="X328" s="150"/>
      <c r="Y328" s="150"/>
      <c r="Z328" s="150"/>
      <c r="AA328" s="150"/>
      <c r="AB328" s="150"/>
      <c r="AC328" s="150"/>
      <c r="AD328" s="150"/>
      <c r="AE328" s="150"/>
      <c r="AF328" s="150"/>
      <c r="AG328" s="150"/>
      <c r="AH328" s="150"/>
      <c r="AI328" s="150"/>
      <c r="AJ328" s="150"/>
      <c r="AK328" s="150"/>
      <c r="AL328" s="150"/>
      <c r="AM328" s="150"/>
      <c r="AN328" s="150"/>
      <c r="AO328" s="150"/>
      <c r="AP328" s="150"/>
      <c r="AQ328" s="150"/>
      <c r="AR328" s="150"/>
      <c r="AS328" s="150"/>
      <c r="AT328" s="150"/>
      <c r="AU328" s="150"/>
      <c r="AV328" s="150"/>
      <c r="AW328" s="150"/>
      <c r="AX328" s="150"/>
      <c r="AY328" s="150"/>
      <c r="AZ328" s="150"/>
      <c r="BA328" s="150"/>
      <c r="BB328" s="150"/>
      <c r="BC328" s="170"/>
      <c r="BD328" s="170"/>
      <c r="BE328" s="170"/>
      <c r="BF328" s="170"/>
      <c r="BG328" s="170"/>
      <c r="BH328" s="170"/>
      <c r="BI328" s="170"/>
      <c r="BJ328" s="170"/>
      <c r="BK328" s="167">
        <f t="shared" si="259"/>
        <v>0</v>
      </c>
      <c r="BL328" s="167">
        <f t="shared" si="260"/>
        <v>0</v>
      </c>
      <c r="BM328" s="167">
        <f t="shared" si="261"/>
        <v>0</v>
      </c>
      <c r="BN328" s="167">
        <f t="shared" si="262"/>
        <v>0</v>
      </c>
    </row>
    <row r="329" spans="1:66" s="171" customFormat="1" ht="15.75" hidden="1" customHeight="1" outlineLevel="3" x14ac:dyDescent="0.3">
      <c r="A329" s="169"/>
      <c r="B329" s="169"/>
      <c r="C329" s="169"/>
      <c r="D329" s="169"/>
      <c r="E329" s="169" t="s">
        <v>2589</v>
      </c>
      <c r="F329" s="169" t="s">
        <v>64</v>
      </c>
      <c r="G329" s="169">
        <v>123</v>
      </c>
      <c r="H329" s="169" t="s">
        <v>330</v>
      </c>
      <c r="I329" s="303">
        <f t="shared" si="255"/>
        <v>0</v>
      </c>
      <c r="J329" s="165">
        <f t="shared" si="254"/>
        <v>0</v>
      </c>
      <c r="K329" s="150">
        <f t="shared" si="257"/>
        <v>0</v>
      </c>
      <c r="L329" s="150">
        <f t="shared" si="258"/>
        <v>0</v>
      </c>
      <c r="M329" s="166"/>
      <c r="N329" s="150"/>
      <c r="O329" s="150"/>
      <c r="P329" s="150"/>
      <c r="Q329" s="150"/>
      <c r="R329" s="150"/>
      <c r="S329" s="150"/>
      <c r="T329" s="150"/>
      <c r="U329" s="150"/>
      <c r="V329" s="150"/>
      <c r="W329" s="150"/>
      <c r="X329" s="150"/>
      <c r="Y329" s="150"/>
      <c r="Z329" s="150"/>
      <c r="AA329" s="150"/>
      <c r="AB329" s="150"/>
      <c r="AC329" s="150"/>
      <c r="AD329" s="150"/>
      <c r="AE329" s="150"/>
      <c r="AF329" s="150"/>
      <c r="AG329" s="150"/>
      <c r="AH329" s="150"/>
      <c r="AI329" s="150"/>
      <c r="AJ329" s="150"/>
      <c r="AK329" s="150"/>
      <c r="AL329" s="150"/>
      <c r="AM329" s="150"/>
      <c r="AN329" s="150"/>
      <c r="AO329" s="150"/>
      <c r="AP329" s="150"/>
      <c r="AQ329" s="150"/>
      <c r="AR329" s="150"/>
      <c r="AS329" s="150"/>
      <c r="AT329" s="150"/>
      <c r="AU329" s="150"/>
      <c r="AV329" s="150"/>
      <c r="AW329" s="150"/>
      <c r="AX329" s="150"/>
      <c r="AY329" s="150"/>
      <c r="AZ329" s="150"/>
      <c r="BA329" s="150"/>
      <c r="BB329" s="150"/>
      <c r="BC329" s="170"/>
      <c r="BD329" s="170"/>
      <c r="BE329" s="170"/>
      <c r="BF329" s="170"/>
      <c r="BG329" s="170"/>
      <c r="BH329" s="170"/>
      <c r="BI329" s="170"/>
      <c r="BJ329" s="170"/>
      <c r="BK329" s="167">
        <f t="shared" si="259"/>
        <v>0</v>
      </c>
      <c r="BL329" s="167">
        <f t="shared" si="260"/>
        <v>0</v>
      </c>
      <c r="BM329" s="167">
        <f t="shared" si="261"/>
        <v>0</v>
      </c>
      <c r="BN329" s="167">
        <f t="shared" si="262"/>
        <v>0</v>
      </c>
    </row>
    <row r="330" spans="1:66" s="171" customFormat="1" ht="15.75" hidden="1" customHeight="1" outlineLevel="3" x14ac:dyDescent="0.3">
      <c r="A330" s="169"/>
      <c r="B330" s="169"/>
      <c r="C330" s="169"/>
      <c r="D330" s="169"/>
      <c r="E330" s="169" t="s">
        <v>2589</v>
      </c>
      <c r="F330" s="169" t="s">
        <v>64</v>
      </c>
      <c r="G330" s="169">
        <v>124</v>
      </c>
      <c r="H330" s="169" t="s">
        <v>331</v>
      </c>
      <c r="I330" s="303">
        <f t="shared" si="255"/>
        <v>0</v>
      </c>
      <c r="J330" s="165">
        <f t="shared" si="254"/>
        <v>0</v>
      </c>
      <c r="K330" s="150">
        <f t="shared" si="257"/>
        <v>0</v>
      </c>
      <c r="L330" s="150">
        <f t="shared" si="258"/>
        <v>0</v>
      </c>
      <c r="M330" s="166"/>
      <c r="N330" s="150"/>
      <c r="O330" s="150"/>
      <c r="P330" s="150"/>
      <c r="Q330" s="150"/>
      <c r="R330" s="150"/>
      <c r="S330" s="150"/>
      <c r="T330" s="150"/>
      <c r="U330" s="150"/>
      <c r="V330" s="150"/>
      <c r="W330" s="150"/>
      <c r="X330" s="150"/>
      <c r="Y330" s="150"/>
      <c r="Z330" s="150"/>
      <c r="AA330" s="150"/>
      <c r="AB330" s="150"/>
      <c r="AC330" s="150"/>
      <c r="AD330" s="150"/>
      <c r="AE330" s="150"/>
      <c r="AF330" s="150"/>
      <c r="AG330" s="150"/>
      <c r="AH330" s="150"/>
      <c r="AI330" s="150"/>
      <c r="AJ330" s="150"/>
      <c r="AK330" s="150"/>
      <c r="AL330" s="150"/>
      <c r="AM330" s="150"/>
      <c r="AN330" s="150"/>
      <c r="AO330" s="150"/>
      <c r="AP330" s="150"/>
      <c r="AQ330" s="150"/>
      <c r="AR330" s="150"/>
      <c r="AS330" s="150"/>
      <c r="AT330" s="150"/>
      <c r="AU330" s="150"/>
      <c r="AV330" s="150"/>
      <c r="AW330" s="150"/>
      <c r="AX330" s="150"/>
      <c r="AY330" s="150"/>
      <c r="AZ330" s="150"/>
      <c r="BA330" s="150"/>
      <c r="BB330" s="150"/>
      <c r="BC330" s="170"/>
      <c r="BD330" s="170"/>
      <c r="BE330" s="170"/>
      <c r="BF330" s="170"/>
      <c r="BG330" s="170"/>
      <c r="BH330" s="170"/>
      <c r="BI330" s="170"/>
      <c r="BJ330" s="170"/>
      <c r="BK330" s="167">
        <f t="shared" si="259"/>
        <v>0</v>
      </c>
      <c r="BL330" s="167">
        <f t="shared" si="260"/>
        <v>0</v>
      </c>
      <c r="BM330" s="167">
        <f t="shared" si="261"/>
        <v>0</v>
      </c>
      <c r="BN330" s="167">
        <f t="shared" si="262"/>
        <v>0</v>
      </c>
    </row>
    <row r="331" spans="1:66" s="171" customFormat="1" ht="15.75" hidden="1" customHeight="1" outlineLevel="3" x14ac:dyDescent="0.3">
      <c r="A331" s="169"/>
      <c r="B331" s="169"/>
      <c r="C331" s="169"/>
      <c r="D331" s="169"/>
      <c r="E331" s="169" t="s">
        <v>2589</v>
      </c>
      <c r="F331" s="169" t="s">
        <v>64</v>
      </c>
      <c r="G331" s="169">
        <v>125</v>
      </c>
      <c r="H331" s="169" t="s">
        <v>332</v>
      </c>
      <c r="I331" s="303">
        <f t="shared" si="255"/>
        <v>0</v>
      </c>
      <c r="J331" s="165">
        <f t="shared" si="254"/>
        <v>0</v>
      </c>
      <c r="K331" s="150">
        <f t="shared" si="257"/>
        <v>0</v>
      </c>
      <c r="L331" s="150">
        <f t="shared" si="258"/>
        <v>0</v>
      </c>
      <c r="M331" s="166"/>
      <c r="N331" s="150"/>
      <c r="O331" s="150"/>
      <c r="P331" s="150"/>
      <c r="Q331" s="150"/>
      <c r="R331" s="150"/>
      <c r="S331" s="150"/>
      <c r="T331" s="150"/>
      <c r="U331" s="150"/>
      <c r="V331" s="150"/>
      <c r="W331" s="150"/>
      <c r="X331" s="150"/>
      <c r="Y331" s="150"/>
      <c r="Z331" s="150"/>
      <c r="AA331" s="150"/>
      <c r="AB331" s="150"/>
      <c r="AC331" s="150"/>
      <c r="AD331" s="150"/>
      <c r="AE331" s="150"/>
      <c r="AF331" s="150"/>
      <c r="AG331" s="150"/>
      <c r="AH331" s="150"/>
      <c r="AI331" s="150"/>
      <c r="AJ331" s="150"/>
      <c r="AK331" s="150"/>
      <c r="AL331" s="150"/>
      <c r="AM331" s="150"/>
      <c r="AN331" s="150"/>
      <c r="AO331" s="150"/>
      <c r="AP331" s="150"/>
      <c r="AQ331" s="150"/>
      <c r="AR331" s="150"/>
      <c r="AS331" s="150"/>
      <c r="AT331" s="150"/>
      <c r="AU331" s="150"/>
      <c r="AV331" s="150"/>
      <c r="AW331" s="150"/>
      <c r="AX331" s="150"/>
      <c r="AY331" s="150"/>
      <c r="AZ331" s="150"/>
      <c r="BA331" s="150"/>
      <c r="BB331" s="150"/>
      <c r="BC331" s="170"/>
      <c r="BD331" s="170"/>
      <c r="BE331" s="170"/>
      <c r="BF331" s="170"/>
      <c r="BG331" s="170"/>
      <c r="BH331" s="170"/>
      <c r="BI331" s="170"/>
      <c r="BJ331" s="170"/>
      <c r="BK331" s="167">
        <f t="shared" si="259"/>
        <v>0</v>
      </c>
      <c r="BL331" s="167">
        <f t="shared" si="260"/>
        <v>0</v>
      </c>
      <c r="BM331" s="167">
        <f t="shared" si="261"/>
        <v>0</v>
      </c>
      <c r="BN331" s="167">
        <f t="shared" si="262"/>
        <v>0</v>
      </c>
    </row>
    <row r="332" spans="1:66" s="171" customFormat="1" ht="15.75" hidden="1" customHeight="1" outlineLevel="3" x14ac:dyDescent="0.3">
      <c r="A332" s="169"/>
      <c r="B332" s="169"/>
      <c r="C332" s="169"/>
      <c r="D332" s="169"/>
      <c r="E332" s="169" t="s">
        <v>2589</v>
      </c>
      <c r="F332" s="169" t="s">
        <v>64</v>
      </c>
      <c r="G332" s="169">
        <v>126</v>
      </c>
      <c r="H332" s="169" t="s">
        <v>333</v>
      </c>
      <c r="I332" s="303">
        <f t="shared" si="255"/>
        <v>0</v>
      </c>
      <c r="J332" s="165">
        <f t="shared" si="254"/>
        <v>0</v>
      </c>
      <c r="K332" s="150">
        <f t="shared" si="257"/>
        <v>0</v>
      </c>
      <c r="L332" s="150">
        <f t="shared" si="258"/>
        <v>0</v>
      </c>
      <c r="M332" s="166"/>
      <c r="N332" s="150"/>
      <c r="O332" s="150"/>
      <c r="P332" s="150"/>
      <c r="Q332" s="150"/>
      <c r="R332" s="150"/>
      <c r="S332" s="150"/>
      <c r="T332" s="150"/>
      <c r="U332" s="150"/>
      <c r="V332" s="150"/>
      <c r="W332" s="150"/>
      <c r="X332" s="150"/>
      <c r="Y332" s="150"/>
      <c r="Z332" s="150"/>
      <c r="AA332" s="150"/>
      <c r="AB332" s="150"/>
      <c r="AC332" s="150"/>
      <c r="AD332" s="150"/>
      <c r="AE332" s="150"/>
      <c r="AF332" s="150"/>
      <c r="AG332" s="150"/>
      <c r="AH332" s="150"/>
      <c r="AI332" s="150"/>
      <c r="AJ332" s="150"/>
      <c r="AK332" s="150"/>
      <c r="AL332" s="150"/>
      <c r="AM332" s="150"/>
      <c r="AN332" s="150"/>
      <c r="AO332" s="150"/>
      <c r="AP332" s="150"/>
      <c r="AQ332" s="150"/>
      <c r="AR332" s="150"/>
      <c r="AS332" s="150"/>
      <c r="AT332" s="150"/>
      <c r="AU332" s="150"/>
      <c r="AV332" s="150"/>
      <c r="AW332" s="150"/>
      <c r="AX332" s="150"/>
      <c r="AY332" s="150"/>
      <c r="AZ332" s="150"/>
      <c r="BA332" s="150"/>
      <c r="BB332" s="150"/>
      <c r="BC332" s="170"/>
      <c r="BD332" s="170"/>
      <c r="BE332" s="170"/>
      <c r="BF332" s="170"/>
      <c r="BG332" s="170"/>
      <c r="BH332" s="170"/>
      <c r="BI332" s="170"/>
      <c r="BJ332" s="170"/>
      <c r="BK332" s="167">
        <f t="shared" si="259"/>
        <v>0</v>
      </c>
      <c r="BL332" s="167">
        <f t="shared" si="260"/>
        <v>0</v>
      </c>
      <c r="BM332" s="167">
        <f t="shared" si="261"/>
        <v>0</v>
      </c>
      <c r="BN332" s="167">
        <f t="shared" si="262"/>
        <v>0</v>
      </c>
    </row>
    <row r="333" spans="1:66" s="171" customFormat="1" ht="15.75" hidden="1" customHeight="1" outlineLevel="3" x14ac:dyDescent="0.3">
      <c r="A333" s="169"/>
      <c r="B333" s="169"/>
      <c r="C333" s="169"/>
      <c r="D333" s="169"/>
      <c r="E333" s="169" t="s">
        <v>2589</v>
      </c>
      <c r="F333" s="169" t="s">
        <v>64</v>
      </c>
      <c r="G333" s="169">
        <v>127</v>
      </c>
      <c r="H333" s="169" t="s">
        <v>334</v>
      </c>
      <c r="I333" s="303">
        <f t="shared" si="255"/>
        <v>0</v>
      </c>
      <c r="J333" s="165">
        <f t="shared" si="254"/>
        <v>0</v>
      </c>
      <c r="K333" s="150">
        <f t="shared" si="257"/>
        <v>0</v>
      </c>
      <c r="L333" s="150">
        <f t="shared" si="258"/>
        <v>0</v>
      </c>
      <c r="M333" s="166"/>
      <c r="N333" s="150"/>
      <c r="O333" s="150"/>
      <c r="P333" s="150"/>
      <c r="Q333" s="150"/>
      <c r="R333" s="150"/>
      <c r="S333" s="150"/>
      <c r="T333" s="150"/>
      <c r="U333" s="150"/>
      <c r="V333" s="150"/>
      <c r="W333" s="150"/>
      <c r="X333" s="150"/>
      <c r="Y333" s="150"/>
      <c r="Z333" s="150"/>
      <c r="AA333" s="150"/>
      <c r="AB333" s="150"/>
      <c r="AC333" s="150"/>
      <c r="AD333" s="150"/>
      <c r="AE333" s="150"/>
      <c r="AF333" s="150"/>
      <c r="AG333" s="150"/>
      <c r="AH333" s="150"/>
      <c r="AI333" s="150"/>
      <c r="AJ333" s="150"/>
      <c r="AK333" s="150"/>
      <c r="AL333" s="150"/>
      <c r="AM333" s="150"/>
      <c r="AN333" s="150"/>
      <c r="AO333" s="150"/>
      <c r="AP333" s="150"/>
      <c r="AQ333" s="150"/>
      <c r="AR333" s="150"/>
      <c r="AS333" s="150"/>
      <c r="AT333" s="150"/>
      <c r="AU333" s="150"/>
      <c r="AV333" s="150"/>
      <c r="AW333" s="150"/>
      <c r="AX333" s="150"/>
      <c r="AY333" s="150"/>
      <c r="AZ333" s="150"/>
      <c r="BA333" s="150"/>
      <c r="BB333" s="150"/>
      <c r="BC333" s="170"/>
      <c r="BD333" s="170"/>
      <c r="BE333" s="170"/>
      <c r="BF333" s="170"/>
      <c r="BG333" s="170"/>
      <c r="BH333" s="170"/>
      <c r="BI333" s="170"/>
      <c r="BJ333" s="170"/>
      <c r="BK333" s="167">
        <f t="shared" si="259"/>
        <v>0</v>
      </c>
      <c r="BL333" s="167">
        <f t="shared" si="260"/>
        <v>0</v>
      </c>
      <c r="BM333" s="167">
        <f t="shared" si="261"/>
        <v>0</v>
      </c>
      <c r="BN333" s="167">
        <f t="shared" si="262"/>
        <v>0</v>
      </c>
    </row>
    <row r="334" spans="1:66" s="171" customFormat="1" ht="15.75" hidden="1" customHeight="1" outlineLevel="3" x14ac:dyDescent="0.3">
      <c r="A334" s="169"/>
      <c r="B334" s="169"/>
      <c r="C334" s="169"/>
      <c r="D334" s="169"/>
      <c r="E334" s="169" t="s">
        <v>2589</v>
      </c>
      <c r="F334" s="169" t="s">
        <v>64</v>
      </c>
      <c r="G334" s="169">
        <v>128</v>
      </c>
      <c r="H334" s="169" t="s">
        <v>335</v>
      </c>
      <c r="I334" s="303">
        <f t="shared" si="255"/>
        <v>0</v>
      </c>
      <c r="J334" s="165">
        <f t="shared" si="254"/>
        <v>0</v>
      </c>
      <c r="K334" s="150">
        <f t="shared" si="257"/>
        <v>0</v>
      </c>
      <c r="L334" s="150">
        <f t="shared" si="258"/>
        <v>0</v>
      </c>
      <c r="M334" s="166"/>
      <c r="N334" s="150"/>
      <c r="O334" s="150"/>
      <c r="P334" s="150"/>
      <c r="Q334" s="150"/>
      <c r="R334" s="150"/>
      <c r="S334" s="150"/>
      <c r="T334" s="150"/>
      <c r="U334" s="150"/>
      <c r="V334" s="150"/>
      <c r="W334" s="150"/>
      <c r="X334" s="150"/>
      <c r="Y334" s="150"/>
      <c r="Z334" s="150"/>
      <c r="AA334" s="150"/>
      <c r="AB334" s="150"/>
      <c r="AC334" s="150"/>
      <c r="AD334" s="150"/>
      <c r="AE334" s="150"/>
      <c r="AF334" s="150"/>
      <c r="AG334" s="150"/>
      <c r="AH334" s="150"/>
      <c r="AI334" s="150"/>
      <c r="AJ334" s="150"/>
      <c r="AK334" s="150"/>
      <c r="AL334" s="150"/>
      <c r="AM334" s="150"/>
      <c r="AN334" s="150"/>
      <c r="AO334" s="150"/>
      <c r="AP334" s="150"/>
      <c r="AQ334" s="150"/>
      <c r="AR334" s="150"/>
      <c r="AS334" s="150"/>
      <c r="AT334" s="150"/>
      <c r="AU334" s="150"/>
      <c r="AV334" s="150"/>
      <c r="AW334" s="150"/>
      <c r="AX334" s="150"/>
      <c r="AY334" s="150"/>
      <c r="AZ334" s="150"/>
      <c r="BA334" s="150"/>
      <c r="BB334" s="150"/>
      <c r="BC334" s="170"/>
      <c r="BD334" s="170"/>
      <c r="BE334" s="170"/>
      <c r="BF334" s="170"/>
      <c r="BG334" s="170"/>
      <c r="BH334" s="170"/>
      <c r="BI334" s="170"/>
      <c r="BJ334" s="170"/>
      <c r="BK334" s="167">
        <f t="shared" si="259"/>
        <v>0</v>
      </c>
      <c r="BL334" s="167">
        <f t="shared" si="260"/>
        <v>0</v>
      </c>
      <c r="BM334" s="167">
        <f t="shared" si="261"/>
        <v>0</v>
      </c>
      <c r="BN334" s="167">
        <f t="shared" si="262"/>
        <v>0</v>
      </c>
    </row>
    <row r="335" spans="1:66" s="171" customFormat="1" ht="15.75" hidden="1" customHeight="1" outlineLevel="3" x14ac:dyDescent="0.3">
      <c r="A335" s="169"/>
      <c r="B335" s="169"/>
      <c r="C335" s="169"/>
      <c r="D335" s="169"/>
      <c r="E335" s="169" t="s">
        <v>2589</v>
      </c>
      <c r="F335" s="169" t="s">
        <v>64</v>
      </c>
      <c r="G335" s="169">
        <v>129</v>
      </c>
      <c r="H335" s="169" t="s">
        <v>336</v>
      </c>
      <c r="I335" s="303">
        <f t="shared" si="255"/>
        <v>0</v>
      </c>
      <c r="J335" s="165">
        <f t="shared" si="254"/>
        <v>0</v>
      </c>
      <c r="K335" s="150">
        <f t="shared" si="257"/>
        <v>0</v>
      </c>
      <c r="L335" s="150">
        <f t="shared" si="258"/>
        <v>0</v>
      </c>
      <c r="M335" s="166"/>
      <c r="N335" s="150"/>
      <c r="O335" s="150"/>
      <c r="P335" s="150"/>
      <c r="Q335" s="150"/>
      <c r="R335" s="150"/>
      <c r="S335" s="150"/>
      <c r="T335" s="150"/>
      <c r="U335" s="150"/>
      <c r="V335" s="150"/>
      <c r="W335" s="150"/>
      <c r="X335" s="150"/>
      <c r="Y335" s="150"/>
      <c r="Z335" s="150"/>
      <c r="AA335" s="150"/>
      <c r="AB335" s="150"/>
      <c r="AC335" s="150"/>
      <c r="AD335" s="150"/>
      <c r="AE335" s="150"/>
      <c r="AF335" s="150"/>
      <c r="AG335" s="150"/>
      <c r="AH335" s="150"/>
      <c r="AI335" s="150"/>
      <c r="AJ335" s="150"/>
      <c r="AK335" s="150"/>
      <c r="AL335" s="150"/>
      <c r="AM335" s="150"/>
      <c r="AN335" s="150"/>
      <c r="AO335" s="150"/>
      <c r="AP335" s="150"/>
      <c r="AQ335" s="150"/>
      <c r="AR335" s="150"/>
      <c r="AS335" s="150"/>
      <c r="AT335" s="150"/>
      <c r="AU335" s="150"/>
      <c r="AV335" s="150"/>
      <c r="AW335" s="150"/>
      <c r="AX335" s="150"/>
      <c r="AY335" s="150"/>
      <c r="AZ335" s="150"/>
      <c r="BA335" s="150"/>
      <c r="BB335" s="150"/>
      <c r="BC335" s="170"/>
      <c r="BD335" s="170"/>
      <c r="BE335" s="170"/>
      <c r="BF335" s="170"/>
      <c r="BG335" s="170"/>
      <c r="BH335" s="170"/>
      <c r="BI335" s="170"/>
      <c r="BJ335" s="170"/>
      <c r="BK335" s="167">
        <f t="shared" si="259"/>
        <v>0</v>
      </c>
      <c r="BL335" s="167">
        <f t="shared" si="260"/>
        <v>0</v>
      </c>
      <c r="BM335" s="167">
        <f t="shared" si="261"/>
        <v>0</v>
      </c>
      <c r="BN335" s="167">
        <f t="shared" si="262"/>
        <v>0</v>
      </c>
    </row>
    <row r="336" spans="1:66" s="171" customFormat="1" ht="15.75" hidden="1" customHeight="1" outlineLevel="3" x14ac:dyDescent="0.3">
      <c r="A336" s="169"/>
      <c r="B336" s="169"/>
      <c r="C336" s="169"/>
      <c r="D336" s="169"/>
      <c r="E336" s="169" t="s">
        <v>2589</v>
      </c>
      <c r="F336" s="169" t="s">
        <v>64</v>
      </c>
      <c r="G336" s="169">
        <v>130</v>
      </c>
      <c r="H336" s="169" t="s">
        <v>337</v>
      </c>
      <c r="I336" s="303">
        <f t="shared" si="255"/>
        <v>309511</v>
      </c>
      <c r="J336" s="165">
        <f t="shared" si="254"/>
        <v>309511</v>
      </c>
      <c r="K336" s="150">
        <f t="shared" si="257"/>
        <v>0</v>
      </c>
      <c r="L336" s="150">
        <f t="shared" si="258"/>
        <v>309511</v>
      </c>
      <c r="M336" s="166"/>
      <c r="N336" s="150"/>
      <c r="O336" s="150">
        <v>112661</v>
      </c>
      <c r="P336" s="150"/>
      <c r="Q336" s="150"/>
      <c r="R336" s="150"/>
      <c r="S336" s="150">
        <v>39370</v>
      </c>
      <c r="T336" s="150"/>
      <c r="U336" s="150"/>
      <c r="V336" s="150">
        <v>157480</v>
      </c>
      <c r="W336" s="150"/>
      <c r="X336" s="150"/>
      <c r="Y336" s="150"/>
      <c r="Z336" s="150"/>
      <c r="AA336" s="150"/>
      <c r="AB336" s="150"/>
      <c r="AC336" s="150"/>
      <c r="AD336" s="150"/>
      <c r="AE336" s="150"/>
      <c r="AF336" s="150"/>
      <c r="AG336" s="150"/>
      <c r="AH336" s="150"/>
      <c r="AI336" s="150"/>
      <c r="AJ336" s="150"/>
      <c r="AK336" s="150"/>
      <c r="AL336" s="150"/>
      <c r="AM336" s="150"/>
      <c r="AN336" s="150"/>
      <c r="AO336" s="150"/>
      <c r="AP336" s="150"/>
      <c r="AQ336" s="150"/>
      <c r="AR336" s="150"/>
      <c r="AS336" s="150"/>
      <c r="AT336" s="150"/>
      <c r="AU336" s="150"/>
      <c r="AV336" s="150"/>
      <c r="AW336" s="150"/>
      <c r="AX336" s="150"/>
      <c r="AY336" s="150"/>
      <c r="AZ336" s="150"/>
      <c r="BA336" s="150"/>
      <c r="BB336" s="150"/>
      <c r="BC336" s="170"/>
      <c r="BD336" s="170"/>
      <c r="BE336" s="170"/>
      <c r="BF336" s="170"/>
      <c r="BG336" s="170"/>
      <c r="BH336" s="170"/>
      <c r="BI336" s="170"/>
      <c r="BJ336" s="170"/>
      <c r="BK336" s="167">
        <f t="shared" si="259"/>
        <v>309511</v>
      </c>
      <c r="BL336" s="167">
        <f t="shared" si="260"/>
        <v>0</v>
      </c>
      <c r="BM336" s="167">
        <f t="shared" si="261"/>
        <v>0</v>
      </c>
      <c r="BN336" s="167">
        <f t="shared" si="262"/>
        <v>0</v>
      </c>
    </row>
    <row r="337" spans="1:66" s="171" customFormat="1" ht="15.75" hidden="1" customHeight="1" outlineLevel="3" x14ac:dyDescent="0.3">
      <c r="A337" s="169"/>
      <c r="B337" s="169"/>
      <c r="C337" s="169"/>
      <c r="D337" s="169"/>
      <c r="E337" s="169" t="s">
        <v>2589</v>
      </c>
      <c r="F337" s="169" t="s">
        <v>64</v>
      </c>
      <c r="G337" s="169">
        <v>131</v>
      </c>
      <c r="H337" s="169" t="s">
        <v>338</v>
      </c>
      <c r="I337" s="303">
        <f t="shared" si="255"/>
        <v>0</v>
      </c>
      <c r="J337" s="165">
        <f t="shared" si="254"/>
        <v>0</v>
      </c>
      <c r="K337" s="150">
        <f t="shared" si="257"/>
        <v>0</v>
      </c>
      <c r="L337" s="150">
        <f t="shared" si="258"/>
        <v>0</v>
      </c>
      <c r="M337" s="166"/>
      <c r="N337" s="150"/>
      <c r="O337" s="150"/>
      <c r="P337" s="150"/>
      <c r="Q337" s="150"/>
      <c r="R337" s="150"/>
      <c r="S337" s="150"/>
      <c r="T337" s="150"/>
      <c r="U337" s="150"/>
      <c r="V337" s="150"/>
      <c r="W337" s="150"/>
      <c r="X337" s="150"/>
      <c r="Y337" s="150"/>
      <c r="Z337" s="150"/>
      <c r="AA337" s="150"/>
      <c r="AB337" s="150"/>
      <c r="AC337" s="150"/>
      <c r="AD337" s="150"/>
      <c r="AE337" s="150"/>
      <c r="AF337" s="150"/>
      <c r="AG337" s="150"/>
      <c r="AH337" s="150"/>
      <c r="AI337" s="150"/>
      <c r="AJ337" s="150"/>
      <c r="AK337" s="150"/>
      <c r="AL337" s="150"/>
      <c r="AM337" s="150"/>
      <c r="AN337" s="150"/>
      <c r="AO337" s="150"/>
      <c r="AP337" s="150"/>
      <c r="AQ337" s="150"/>
      <c r="AR337" s="150"/>
      <c r="AS337" s="150"/>
      <c r="AT337" s="150"/>
      <c r="AU337" s="150"/>
      <c r="AV337" s="150"/>
      <c r="AW337" s="150"/>
      <c r="AX337" s="150"/>
      <c r="AY337" s="150"/>
      <c r="AZ337" s="150"/>
      <c r="BA337" s="150"/>
      <c r="BB337" s="150"/>
      <c r="BC337" s="170"/>
      <c r="BD337" s="170"/>
      <c r="BE337" s="170"/>
      <c r="BF337" s="170"/>
      <c r="BG337" s="170"/>
      <c r="BH337" s="170"/>
      <c r="BI337" s="170"/>
      <c r="BJ337" s="170"/>
      <c r="BK337" s="167">
        <f t="shared" si="259"/>
        <v>0</v>
      </c>
      <c r="BL337" s="167">
        <f t="shared" si="260"/>
        <v>0</v>
      </c>
      <c r="BM337" s="167">
        <f t="shared" si="261"/>
        <v>0</v>
      </c>
      <c r="BN337" s="167">
        <f t="shared" si="262"/>
        <v>0</v>
      </c>
    </row>
    <row r="338" spans="1:66" s="171" customFormat="1" ht="15.75" hidden="1" customHeight="1" outlineLevel="3" x14ac:dyDescent="0.3">
      <c r="A338" s="169"/>
      <c r="B338" s="169"/>
      <c r="C338" s="169"/>
      <c r="D338" s="169"/>
      <c r="E338" s="169" t="s">
        <v>2589</v>
      </c>
      <c r="F338" s="169" t="s">
        <v>64</v>
      </c>
      <c r="G338" s="169">
        <v>132</v>
      </c>
      <c r="H338" s="169" t="s">
        <v>339</v>
      </c>
      <c r="I338" s="303">
        <f t="shared" si="255"/>
        <v>0</v>
      </c>
      <c r="J338" s="165">
        <f t="shared" si="254"/>
        <v>0</v>
      </c>
      <c r="K338" s="150">
        <f t="shared" si="257"/>
        <v>0</v>
      </c>
      <c r="L338" s="150">
        <f t="shared" si="258"/>
        <v>0</v>
      </c>
      <c r="M338" s="166"/>
      <c r="N338" s="150"/>
      <c r="O338" s="150"/>
      <c r="P338" s="150"/>
      <c r="Q338" s="150"/>
      <c r="R338" s="150"/>
      <c r="S338" s="150"/>
      <c r="T338" s="150"/>
      <c r="U338" s="150"/>
      <c r="V338" s="150"/>
      <c r="W338" s="150"/>
      <c r="X338" s="150"/>
      <c r="Y338" s="150"/>
      <c r="Z338" s="150"/>
      <c r="AA338" s="150"/>
      <c r="AB338" s="150"/>
      <c r="AC338" s="150"/>
      <c r="AD338" s="150"/>
      <c r="AE338" s="150"/>
      <c r="AF338" s="150"/>
      <c r="AG338" s="150"/>
      <c r="AH338" s="150"/>
      <c r="AI338" s="150"/>
      <c r="AJ338" s="150"/>
      <c r="AK338" s="150"/>
      <c r="AL338" s="150"/>
      <c r="AM338" s="150"/>
      <c r="AN338" s="150"/>
      <c r="AO338" s="150"/>
      <c r="AP338" s="150"/>
      <c r="AQ338" s="150"/>
      <c r="AR338" s="150"/>
      <c r="AS338" s="150"/>
      <c r="AT338" s="150"/>
      <c r="AU338" s="150"/>
      <c r="AV338" s="150"/>
      <c r="AW338" s="150"/>
      <c r="AX338" s="150"/>
      <c r="AY338" s="150"/>
      <c r="AZ338" s="150"/>
      <c r="BA338" s="150"/>
      <c r="BB338" s="150"/>
      <c r="BC338" s="170"/>
      <c r="BD338" s="170"/>
      <c r="BE338" s="170"/>
      <c r="BF338" s="170"/>
      <c r="BG338" s="170"/>
      <c r="BH338" s="170"/>
      <c r="BI338" s="170"/>
      <c r="BJ338" s="170"/>
      <c r="BK338" s="167">
        <f t="shared" si="259"/>
        <v>0</v>
      </c>
      <c r="BL338" s="167">
        <f t="shared" si="260"/>
        <v>0</v>
      </c>
      <c r="BM338" s="167">
        <f t="shared" si="261"/>
        <v>0</v>
      </c>
      <c r="BN338" s="167">
        <f t="shared" si="262"/>
        <v>0</v>
      </c>
    </row>
    <row r="339" spans="1:66" s="171" customFormat="1" ht="15.75" hidden="1" customHeight="1" outlineLevel="3" x14ac:dyDescent="0.3">
      <c r="A339" s="169"/>
      <c r="B339" s="169"/>
      <c r="C339" s="169"/>
      <c r="D339" s="169"/>
      <c r="E339" s="169" t="s">
        <v>2589</v>
      </c>
      <c r="F339" s="169" t="s">
        <v>64</v>
      </c>
      <c r="G339" s="169">
        <v>133</v>
      </c>
      <c r="H339" s="169" t="s">
        <v>340</v>
      </c>
      <c r="I339" s="303">
        <f t="shared" si="255"/>
        <v>729855</v>
      </c>
      <c r="J339" s="165">
        <f t="shared" si="254"/>
        <v>729855</v>
      </c>
      <c r="K339" s="150">
        <f t="shared" si="257"/>
        <v>0</v>
      </c>
      <c r="L339" s="150">
        <f t="shared" si="258"/>
        <v>729855</v>
      </c>
      <c r="M339" s="166"/>
      <c r="N339" s="150"/>
      <c r="O339" s="150"/>
      <c r="P339" s="150"/>
      <c r="Q339" s="150"/>
      <c r="R339" s="150"/>
      <c r="S339" s="150"/>
      <c r="T339" s="150"/>
      <c r="U339" s="150"/>
      <c r="V339" s="150"/>
      <c r="W339" s="150"/>
      <c r="X339" s="150"/>
      <c r="Y339" s="150"/>
      <c r="Z339" s="150"/>
      <c r="AA339" s="150">
        <v>314268</v>
      </c>
      <c r="AB339" s="150"/>
      <c r="AC339" s="150">
        <v>415587</v>
      </c>
      <c r="AD339" s="150"/>
      <c r="AE339" s="150"/>
      <c r="AF339" s="150"/>
      <c r="AG339" s="150"/>
      <c r="AH339" s="150"/>
      <c r="AI339" s="150"/>
      <c r="AJ339" s="150"/>
      <c r="AK339" s="150"/>
      <c r="AL339" s="150"/>
      <c r="AM339" s="150"/>
      <c r="AN339" s="150"/>
      <c r="AO339" s="150"/>
      <c r="AP339" s="150"/>
      <c r="AQ339" s="150"/>
      <c r="AR339" s="150"/>
      <c r="AS339" s="150"/>
      <c r="AT339" s="150"/>
      <c r="AU339" s="150"/>
      <c r="AV339" s="150"/>
      <c r="AW339" s="150"/>
      <c r="AX339" s="150"/>
      <c r="AY339" s="150"/>
      <c r="AZ339" s="150"/>
      <c r="BA339" s="150"/>
      <c r="BB339" s="150"/>
      <c r="BC339" s="170"/>
      <c r="BD339" s="170"/>
      <c r="BE339" s="170"/>
      <c r="BF339" s="170"/>
      <c r="BG339" s="170"/>
      <c r="BH339" s="170"/>
      <c r="BI339" s="170"/>
      <c r="BJ339" s="170"/>
      <c r="BK339" s="167">
        <f t="shared" si="259"/>
        <v>314268</v>
      </c>
      <c r="BL339" s="167">
        <f t="shared" si="260"/>
        <v>0</v>
      </c>
      <c r="BM339" s="167">
        <f t="shared" si="261"/>
        <v>415587</v>
      </c>
      <c r="BN339" s="167">
        <f t="shared" si="262"/>
        <v>0</v>
      </c>
    </row>
    <row r="340" spans="1:66" s="171" customFormat="1" ht="15.75" hidden="1" customHeight="1" outlineLevel="3" x14ac:dyDescent="0.3">
      <c r="A340" s="169"/>
      <c r="B340" s="169"/>
      <c r="C340" s="169"/>
      <c r="D340" s="169"/>
      <c r="E340" s="169" t="s">
        <v>2589</v>
      </c>
      <c r="F340" s="169" t="s">
        <v>64</v>
      </c>
      <c r="G340" s="169">
        <v>134</v>
      </c>
      <c r="H340" s="169" t="s">
        <v>341</v>
      </c>
      <c r="I340" s="303">
        <f t="shared" si="255"/>
        <v>0</v>
      </c>
      <c r="J340" s="165">
        <f t="shared" si="254"/>
        <v>0</v>
      </c>
      <c r="K340" s="150">
        <f t="shared" si="257"/>
        <v>0</v>
      </c>
      <c r="L340" s="150">
        <f t="shared" si="258"/>
        <v>0</v>
      </c>
      <c r="M340" s="166"/>
      <c r="N340" s="150"/>
      <c r="O340" s="150"/>
      <c r="P340" s="150"/>
      <c r="Q340" s="150"/>
      <c r="R340" s="150"/>
      <c r="S340" s="150"/>
      <c r="T340" s="150"/>
      <c r="U340" s="150"/>
      <c r="V340" s="150"/>
      <c r="W340" s="150"/>
      <c r="X340" s="150"/>
      <c r="Y340" s="150"/>
      <c r="Z340" s="150"/>
      <c r="AA340" s="150"/>
      <c r="AB340" s="150"/>
      <c r="AC340" s="150"/>
      <c r="AD340" s="150"/>
      <c r="AE340" s="150"/>
      <c r="AF340" s="150"/>
      <c r="AG340" s="150"/>
      <c r="AH340" s="150"/>
      <c r="AI340" s="150"/>
      <c r="AJ340" s="150"/>
      <c r="AK340" s="150"/>
      <c r="AL340" s="150"/>
      <c r="AM340" s="150"/>
      <c r="AN340" s="150"/>
      <c r="AO340" s="150"/>
      <c r="AP340" s="150"/>
      <c r="AQ340" s="150"/>
      <c r="AR340" s="150"/>
      <c r="AS340" s="150"/>
      <c r="AT340" s="150"/>
      <c r="AU340" s="150"/>
      <c r="AV340" s="150"/>
      <c r="AW340" s="150"/>
      <c r="AX340" s="150"/>
      <c r="AY340" s="150"/>
      <c r="AZ340" s="150"/>
      <c r="BA340" s="150"/>
      <c r="BB340" s="150"/>
      <c r="BC340" s="170"/>
      <c r="BD340" s="170"/>
      <c r="BE340" s="170"/>
      <c r="BF340" s="170"/>
      <c r="BG340" s="170"/>
      <c r="BH340" s="170"/>
      <c r="BI340" s="170"/>
      <c r="BJ340" s="170"/>
      <c r="BK340" s="167">
        <f t="shared" si="259"/>
        <v>0</v>
      </c>
      <c r="BL340" s="167">
        <f t="shared" si="260"/>
        <v>0</v>
      </c>
      <c r="BM340" s="167">
        <f t="shared" si="261"/>
        <v>0</v>
      </c>
      <c r="BN340" s="167">
        <f t="shared" si="262"/>
        <v>0</v>
      </c>
    </row>
    <row r="341" spans="1:66" s="171" customFormat="1" ht="15.75" hidden="1" customHeight="1" outlineLevel="3" x14ac:dyDescent="0.3">
      <c r="A341" s="169"/>
      <c r="B341" s="169"/>
      <c r="C341" s="169"/>
      <c r="D341" s="169"/>
      <c r="E341" s="169" t="s">
        <v>2589</v>
      </c>
      <c r="F341" s="169" t="s">
        <v>64</v>
      </c>
      <c r="G341" s="169">
        <v>137</v>
      </c>
      <c r="H341" s="169" t="s">
        <v>347</v>
      </c>
      <c r="I341" s="303">
        <f t="shared" si="255"/>
        <v>0</v>
      </c>
      <c r="J341" s="165">
        <f t="shared" si="254"/>
        <v>0</v>
      </c>
      <c r="K341" s="150">
        <f t="shared" si="257"/>
        <v>0</v>
      </c>
      <c r="L341" s="150">
        <f t="shared" si="258"/>
        <v>0</v>
      </c>
      <c r="M341" s="166"/>
      <c r="N341" s="150"/>
      <c r="O341" s="150"/>
      <c r="P341" s="150"/>
      <c r="Q341" s="150"/>
      <c r="R341" s="150"/>
      <c r="S341" s="150"/>
      <c r="T341" s="150"/>
      <c r="U341" s="150"/>
      <c r="V341" s="150"/>
      <c r="W341" s="150"/>
      <c r="X341" s="150"/>
      <c r="Y341" s="150"/>
      <c r="Z341" s="150"/>
      <c r="AA341" s="150"/>
      <c r="AB341" s="150"/>
      <c r="AC341" s="150"/>
      <c r="AD341" s="150"/>
      <c r="AE341" s="150"/>
      <c r="AF341" s="150"/>
      <c r="AG341" s="150"/>
      <c r="AH341" s="150"/>
      <c r="AI341" s="150"/>
      <c r="AJ341" s="150"/>
      <c r="AK341" s="150"/>
      <c r="AL341" s="150"/>
      <c r="AM341" s="150"/>
      <c r="AN341" s="150"/>
      <c r="AO341" s="150"/>
      <c r="AP341" s="150"/>
      <c r="AQ341" s="150"/>
      <c r="AR341" s="150"/>
      <c r="AS341" s="150"/>
      <c r="AT341" s="150"/>
      <c r="AU341" s="150"/>
      <c r="AV341" s="150"/>
      <c r="AW341" s="150"/>
      <c r="AX341" s="150"/>
      <c r="AY341" s="150"/>
      <c r="AZ341" s="150"/>
      <c r="BA341" s="150"/>
      <c r="BB341" s="150"/>
      <c r="BC341" s="170"/>
      <c r="BD341" s="170"/>
      <c r="BE341" s="170"/>
      <c r="BF341" s="170"/>
      <c r="BG341" s="170"/>
      <c r="BH341" s="170"/>
      <c r="BI341" s="170"/>
      <c r="BJ341" s="170"/>
      <c r="BK341" s="167">
        <f t="shared" si="259"/>
        <v>0</v>
      </c>
      <c r="BL341" s="167">
        <f t="shared" si="260"/>
        <v>0</v>
      </c>
      <c r="BM341" s="167">
        <f t="shared" si="261"/>
        <v>0</v>
      </c>
      <c r="BN341" s="167">
        <f t="shared" si="262"/>
        <v>0</v>
      </c>
    </row>
    <row r="342" spans="1:66" s="171" customFormat="1" ht="15.75" hidden="1" customHeight="1" outlineLevel="3" x14ac:dyDescent="0.3">
      <c r="A342" s="169"/>
      <c r="B342" s="169"/>
      <c r="C342" s="169"/>
      <c r="D342" s="169"/>
      <c r="E342" s="169" t="s">
        <v>2589</v>
      </c>
      <c r="F342" s="169" t="s">
        <v>64</v>
      </c>
      <c r="G342" s="169">
        <v>138</v>
      </c>
      <c r="H342" s="169" t="s">
        <v>349</v>
      </c>
      <c r="I342" s="303">
        <f t="shared" si="255"/>
        <v>1717322</v>
      </c>
      <c r="J342" s="165">
        <f t="shared" si="254"/>
        <v>1717322</v>
      </c>
      <c r="K342" s="150">
        <f t="shared" si="257"/>
        <v>0</v>
      </c>
      <c r="L342" s="150">
        <f t="shared" si="258"/>
        <v>1717322</v>
      </c>
      <c r="M342" s="166"/>
      <c r="N342" s="150">
        <v>50000</v>
      </c>
      <c r="O342" s="150"/>
      <c r="P342" s="150"/>
      <c r="Q342" s="150">
        <v>393701</v>
      </c>
      <c r="R342" s="150"/>
      <c r="S342" s="150"/>
      <c r="T342" s="150"/>
      <c r="U342" s="150">
        <v>157480</v>
      </c>
      <c r="V342" s="150">
        <v>629921</v>
      </c>
      <c r="W342" s="150">
        <v>250000</v>
      </c>
      <c r="X342" s="150"/>
      <c r="Y342" s="150"/>
      <c r="Z342" s="150">
        <v>39370</v>
      </c>
      <c r="AA342" s="150">
        <v>196850</v>
      </c>
      <c r="AB342" s="150"/>
      <c r="AC342" s="150"/>
      <c r="AD342" s="150"/>
      <c r="AE342" s="150"/>
      <c r="AF342" s="150"/>
      <c r="AG342" s="150"/>
      <c r="AH342" s="150"/>
      <c r="AI342" s="150"/>
      <c r="AJ342" s="150"/>
      <c r="AK342" s="150"/>
      <c r="AL342" s="150"/>
      <c r="AM342" s="150"/>
      <c r="AN342" s="150"/>
      <c r="AO342" s="150"/>
      <c r="AP342" s="150"/>
      <c r="AQ342" s="150"/>
      <c r="AR342" s="150"/>
      <c r="AS342" s="150"/>
      <c r="AT342" s="150"/>
      <c r="AU342" s="150"/>
      <c r="AV342" s="150"/>
      <c r="AW342" s="150"/>
      <c r="AX342" s="150"/>
      <c r="AY342" s="150"/>
      <c r="AZ342" s="150"/>
      <c r="BA342" s="150"/>
      <c r="BB342" s="150"/>
      <c r="BC342" s="170"/>
      <c r="BD342" s="170"/>
      <c r="BE342" s="170"/>
      <c r="BF342" s="170"/>
      <c r="BG342" s="170"/>
      <c r="BH342" s="170"/>
      <c r="BI342" s="170"/>
      <c r="BJ342" s="170"/>
      <c r="BK342" s="167">
        <f t="shared" si="259"/>
        <v>1717322</v>
      </c>
      <c r="BL342" s="167">
        <f t="shared" si="260"/>
        <v>0</v>
      </c>
      <c r="BM342" s="167">
        <f t="shared" si="261"/>
        <v>0</v>
      </c>
      <c r="BN342" s="167">
        <f t="shared" si="262"/>
        <v>0</v>
      </c>
    </row>
    <row r="343" spans="1:66" s="171" customFormat="1" ht="15.75" hidden="1" customHeight="1" outlineLevel="3" x14ac:dyDescent="0.3">
      <c r="A343" s="169"/>
      <c r="B343" s="169"/>
      <c r="C343" s="169"/>
      <c r="D343" s="169"/>
      <c r="E343" s="169" t="s">
        <v>2589</v>
      </c>
      <c r="F343" s="169" t="s">
        <v>64</v>
      </c>
      <c r="G343" s="169">
        <v>139</v>
      </c>
      <c r="H343" s="169" t="s">
        <v>350</v>
      </c>
      <c r="I343" s="303">
        <f t="shared" si="255"/>
        <v>138110</v>
      </c>
      <c r="J343" s="165">
        <f t="shared" si="254"/>
        <v>138110</v>
      </c>
      <c r="K343" s="150">
        <f t="shared" si="257"/>
        <v>0</v>
      </c>
      <c r="L343" s="150">
        <f t="shared" si="258"/>
        <v>138110</v>
      </c>
      <c r="M343" s="166"/>
      <c r="N343" s="150"/>
      <c r="O343" s="150"/>
      <c r="P343" s="150"/>
      <c r="Q343" s="150"/>
      <c r="R343" s="150"/>
      <c r="S343" s="150">
        <v>39370</v>
      </c>
      <c r="T343" s="150"/>
      <c r="U343" s="150"/>
      <c r="V343" s="150">
        <v>78740</v>
      </c>
      <c r="W343" s="150">
        <v>20000</v>
      </c>
      <c r="X343" s="150"/>
      <c r="Y343" s="150"/>
      <c r="Z343" s="150"/>
      <c r="AA343" s="150"/>
      <c r="AB343" s="150"/>
      <c r="AC343" s="150"/>
      <c r="AD343" s="150"/>
      <c r="AE343" s="150"/>
      <c r="AF343" s="150"/>
      <c r="AG343" s="150"/>
      <c r="AH343" s="150"/>
      <c r="AI343" s="150"/>
      <c r="AJ343" s="150"/>
      <c r="AK343" s="150"/>
      <c r="AL343" s="150"/>
      <c r="AM343" s="150"/>
      <c r="AN343" s="150"/>
      <c r="AO343" s="150"/>
      <c r="AP343" s="150"/>
      <c r="AQ343" s="150"/>
      <c r="AR343" s="150"/>
      <c r="AS343" s="150"/>
      <c r="AT343" s="150"/>
      <c r="AU343" s="150"/>
      <c r="AV343" s="150"/>
      <c r="AW343" s="150"/>
      <c r="AX343" s="150"/>
      <c r="AY343" s="150"/>
      <c r="AZ343" s="150"/>
      <c r="BA343" s="150"/>
      <c r="BB343" s="150"/>
      <c r="BC343" s="170"/>
      <c r="BD343" s="170"/>
      <c r="BE343" s="170"/>
      <c r="BF343" s="170"/>
      <c r="BG343" s="170"/>
      <c r="BH343" s="170"/>
      <c r="BI343" s="170"/>
      <c r="BJ343" s="170"/>
      <c r="BK343" s="167">
        <f t="shared" si="259"/>
        <v>138110</v>
      </c>
      <c r="BL343" s="167">
        <f t="shared" si="260"/>
        <v>0</v>
      </c>
      <c r="BM343" s="167">
        <f t="shared" si="261"/>
        <v>0</v>
      </c>
      <c r="BN343" s="167">
        <f t="shared" si="262"/>
        <v>0</v>
      </c>
    </row>
    <row r="344" spans="1:66" s="171" customFormat="1" ht="15.75" hidden="1" customHeight="1" outlineLevel="3" x14ac:dyDescent="0.3">
      <c r="A344" s="169"/>
      <c r="B344" s="169"/>
      <c r="C344" s="169"/>
      <c r="D344" s="169"/>
      <c r="E344" s="169" t="s">
        <v>2589</v>
      </c>
      <c r="F344" s="169" t="s">
        <v>64</v>
      </c>
      <c r="G344" s="169">
        <v>141</v>
      </c>
      <c r="H344" s="169" t="s">
        <v>354</v>
      </c>
      <c r="I344" s="303">
        <f>+J344</f>
        <v>2771764.2400000007</v>
      </c>
      <c r="J344" s="165">
        <f t="shared" si="254"/>
        <v>2771764.2400000007</v>
      </c>
      <c r="K344" s="150">
        <f t="shared" si="257"/>
        <v>0</v>
      </c>
      <c r="L344" s="150">
        <f t="shared" si="258"/>
        <v>2771764.2400000007</v>
      </c>
      <c r="M344" s="166"/>
      <c r="N344" s="150">
        <f>+(SUM(N285:N287,N289:N302,N304:N309,N311,N313:N315,N317:N327,N329:N330,N332:N339,N342:N343)*0.27)+SUM(N288,N303,N310)*0.05+N254*0.27</f>
        <v>40500</v>
      </c>
      <c r="O344" s="150">
        <f>+(SUM(O285:O287,O289:O302,O304:O309,O311,O313:O315,O317:O327,O329:O330,O332:O339,O342:O343)*0.27)+SUM(O288,O303,O310)*0.05+O254*0.27+1</f>
        <v>83339.47</v>
      </c>
      <c r="P344" s="150">
        <f t="shared" ref="P344:AL344" si="263">+(SUM(P285:P287,P289:P302,P304:P309,P311,P313:P315,P317:P327,P329:P330,P332:P339,P342:P343)*0.27)+SUM(P288,P303,P310)*0.05+P254*0.27</f>
        <v>0</v>
      </c>
      <c r="Q344" s="150">
        <f t="shared" si="263"/>
        <v>127559.07</v>
      </c>
      <c r="R344" s="150">
        <f t="shared" si="263"/>
        <v>126900.00000000001</v>
      </c>
      <c r="S344" s="150">
        <f t="shared" si="263"/>
        <v>48897.54</v>
      </c>
      <c r="T344" s="150">
        <f t="shared" si="263"/>
        <v>0</v>
      </c>
      <c r="U344" s="150">
        <f>+(SUM(U285:U287,U289:U302,U304:U309,U311,U313:U315,U317:U327,U329:U330,U332:U339,U342:U343)*0.27)+SUM(U288,U303,U310)*0.05+U254*0.27+1</f>
        <v>127559.8</v>
      </c>
      <c r="V344" s="150">
        <f>+(SUM(V285:V287,V289:V302,V304:V309,V311,V313:V315,V317:V327,V329:V330,V332:V339,V342:V343)*0.27)+SUM(V288,V303,V310)*0.05+V254*0.27-2</f>
        <v>1625492.36</v>
      </c>
      <c r="W344" s="150">
        <f t="shared" si="263"/>
        <v>97200</v>
      </c>
      <c r="X344" s="150">
        <f t="shared" si="263"/>
        <v>0</v>
      </c>
      <c r="Y344" s="150">
        <f t="shared" si="263"/>
        <v>30188.97</v>
      </c>
      <c r="Z344" s="150">
        <f t="shared" si="263"/>
        <v>97795.35</v>
      </c>
      <c r="AA344" s="150">
        <f t="shared" si="263"/>
        <v>254123.19</v>
      </c>
      <c r="AB344" s="150">
        <f t="shared" si="263"/>
        <v>0</v>
      </c>
      <c r="AC344" s="150">
        <f t="shared" si="263"/>
        <v>112208.49</v>
      </c>
      <c r="AD344" s="150">
        <f t="shared" si="263"/>
        <v>0</v>
      </c>
      <c r="AE344" s="150">
        <f t="shared" si="263"/>
        <v>0</v>
      </c>
      <c r="AF344" s="150">
        <f t="shared" si="263"/>
        <v>0</v>
      </c>
      <c r="AG344" s="150">
        <f t="shared" si="263"/>
        <v>0</v>
      </c>
      <c r="AH344" s="150">
        <f t="shared" si="263"/>
        <v>0</v>
      </c>
      <c r="AI344" s="150">
        <f t="shared" si="263"/>
        <v>0</v>
      </c>
      <c r="AJ344" s="150">
        <f t="shared" si="263"/>
        <v>0</v>
      </c>
      <c r="AK344" s="150">
        <f t="shared" si="263"/>
        <v>0</v>
      </c>
      <c r="AL344" s="150">
        <f t="shared" si="263"/>
        <v>0</v>
      </c>
      <c r="AM344" s="150"/>
      <c r="AN344" s="150"/>
      <c r="AO344" s="150"/>
      <c r="AP344" s="150"/>
      <c r="AQ344" s="150"/>
      <c r="AR344" s="150"/>
      <c r="AS344" s="150"/>
      <c r="AT344" s="150"/>
      <c r="AU344" s="150"/>
      <c r="AV344" s="150"/>
      <c r="AW344" s="150"/>
      <c r="AX344" s="150"/>
      <c r="AY344" s="150"/>
      <c r="AZ344" s="150"/>
      <c r="BA344" s="150"/>
      <c r="BB344" s="150"/>
      <c r="BC344" s="170"/>
      <c r="BD344" s="170"/>
      <c r="BE344" s="170"/>
      <c r="BF344" s="170"/>
      <c r="BG344" s="170"/>
      <c r="BH344" s="170"/>
      <c r="BI344" s="170"/>
      <c r="BJ344" s="170"/>
      <c r="BK344" s="167">
        <f t="shared" si="259"/>
        <v>2659555.7500000005</v>
      </c>
      <c r="BL344" s="167">
        <f t="shared" si="260"/>
        <v>0</v>
      </c>
      <c r="BM344" s="167">
        <f t="shared" si="261"/>
        <v>112208.49</v>
      </c>
      <c r="BN344" s="167">
        <f t="shared" si="262"/>
        <v>0</v>
      </c>
    </row>
    <row r="345" spans="1:66" s="171" customFormat="1" ht="15.75" hidden="1" customHeight="1" outlineLevel="3" x14ac:dyDescent="0.3">
      <c r="A345" s="169"/>
      <c r="B345" s="169"/>
      <c r="C345" s="169"/>
      <c r="D345" s="169"/>
      <c r="E345" s="169" t="s">
        <v>2589</v>
      </c>
      <c r="F345" s="169" t="s">
        <v>64</v>
      </c>
      <c r="G345" s="169">
        <v>142</v>
      </c>
      <c r="H345" s="169" t="s">
        <v>356</v>
      </c>
      <c r="I345" s="303">
        <f t="shared" si="255"/>
        <v>0</v>
      </c>
      <c r="J345" s="165">
        <f t="shared" si="254"/>
        <v>0</v>
      </c>
      <c r="K345" s="150">
        <f t="shared" si="257"/>
        <v>0</v>
      </c>
      <c r="L345" s="150">
        <f t="shared" si="258"/>
        <v>0</v>
      </c>
      <c r="M345" s="166"/>
      <c r="N345" s="150"/>
      <c r="O345" s="150"/>
      <c r="P345" s="150"/>
      <c r="Q345" s="150"/>
      <c r="R345" s="150"/>
      <c r="S345" s="150"/>
      <c r="T345" s="150"/>
      <c r="U345" s="150"/>
      <c r="V345" s="150"/>
      <c r="W345" s="150"/>
      <c r="X345" s="150"/>
      <c r="Y345" s="150"/>
      <c r="Z345" s="150"/>
      <c r="AA345" s="150"/>
      <c r="AB345" s="150"/>
      <c r="AC345" s="150"/>
      <c r="AD345" s="150"/>
      <c r="AE345" s="150"/>
      <c r="AF345" s="150"/>
      <c r="AG345" s="150"/>
      <c r="AH345" s="150"/>
      <c r="AI345" s="150"/>
      <c r="AJ345" s="150"/>
      <c r="AK345" s="150"/>
      <c r="AL345" s="150"/>
      <c r="AM345" s="150"/>
      <c r="AN345" s="150"/>
      <c r="AO345" s="150"/>
      <c r="AP345" s="150"/>
      <c r="AQ345" s="150"/>
      <c r="AR345" s="150"/>
      <c r="AS345" s="150"/>
      <c r="AT345" s="150"/>
      <c r="AU345" s="150"/>
      <c r="AV345" s="150"/>
      <c r="AW345" s="150"/>
      <c r="AX345" s="150"/>
      <c r="AY345" s="150"/>
      <c r="AZ345" s="150"/>
      <c r="BA345" s="150"/>
      <c r="BB345" s="150"/>
      <c r="BC345" s="170"/>
      <c r="BD345" s="170"/>
      <c r="BE345" s="170"/>
      <c r="BF345" s="170"/>
      <c r="BG345" s="170"/>
      <c r="BH345" s="170"/>
      <c r="BI345" s="170"/>
      <c r="BJ345" s="170"/>
      <c r="BK345" s="167">
        <f t="shared" si="259"/>
        <v>0</v>
      </c>
      <c r="BL345" s="167">
        <f t="shared" si="260"/>
        <v>0</v>
      </c>
      <c r="BM345" s="167">
        <f t="shared" si="261"/>
        <v>0</v>
      </c>
      <c r="BN345" s="167">
        <f t="shared" si="262"/>
        <v>0</v>
      </c>
    </row>
    <row r="346" spans="1:66" s="171" customFormat="1" ht="15.75" hidden="1" customHeight="1" outlineLevel="3" x14ac:dyDescent="0.3">
      <c r="A346" s="169"/>
      <c r="B346" s="169"/>
      <c r="C346" s="169"/>
      <c r="D346" s="169"/>
      <c r="E346" s="169" t="s">
        <v>2589</v>
      </c>
      <c r="F346" s="169" t="s">
        <v>64</v>
      </c>
      <c r="G346" s="169">
        <v>144</v>
      </c>
      <c r="H346" s="169" t="s">
        <v>360</v>
      </c>
      <c r="I346" s="303">
        <f t="shared" si="255"/>
        <v>0</v>
      </c>
      <c r="J346" s="165">
        <f t="shared" si="254"/>
        <v>0</v>
      </c>
      <c r="K346" s="150">
        <f t="shared" si="257"/>
        <v>0</v>
      </c>
      <c r="L346" s="150">
        <f t="shared" si="258"/>
        <v>0</v>
      </c>
      <c r="M346" s="166"/>
      <c r="N346" s="150"/>
      <c r="O346" s="150"/>
      <c r="P346" s="150"/>
      <c r="Q346" s="150"/>
      <c r="R346" s="150"/>
      <c r="S346" s="150"/>
      <c r="T346" s="150"/>
      <c r="U346" s="150"/>
      <c r="V346" s="150"/>
      <c r="W346" s="150"/>
      <c r="X346" s="150"/>
      <c r="Y346" s="150"/>
      <c r="Z346" s="150"/>
      <c r="AA346" s="150"/>
      <c r="AB346" s="150"/>
      <c r="AC346" s="150"/>
      <c r="AD346" s="150"/>
      <c r="AE346" s="150"/>
      <c r="AF346" s="150"/>
      <c r="AG346" s="150"/>
      <c r="AH346" s="150"/>
      <c r="AI346" s="150"/>
      <c r="AJ346" s="150"/>
      <c r="AK346" s="150"/>
      <c r="AL346" s="150"/>
      <c r="AM346" s="150"/>
      <c r="AN346" s="150"/>
      <c r="AO346" s="150"/>
      <c r="AP346" s="150"/>
      <c r="AQ346" s="150"/>
      <c r="AR346" s="150"/>
      <c r="AS346" s="150"/>
      <c r="AT346" s="150"/>
      <c r="AU346" s="150"/>
      <c r="AV346" s="150"/>
      <c r="AW346" s="150"/>
      <c r="AX346" s="150"/>
      <c r="AY346" s="150"/>
      <c r="AZ346" s="150"/>
      <c r="BA346" s="150"/>
      <c r="BB346" s="150"/>
      <c r="BC346" s="170"/>
      <c r="BD346" s="170"/>
      <c r="BE346" s="170"/>
      <c r="BF346" s="170"/>
      <c r="BG346" s="170"/>
      <c r="BH346" s="170"/>
      <c r="BI346" s="170"/>
      <c r="BJ346" s="170"/>
      <c r="BK346" s="167">
        <f t="shared" si="259"/>
        <v>0</v>
      </c>
      <c r="BL346" s="167">
        <f t="shared" si="260"/>
        <v>0</v>
      </c>
      <c r="BM346" s="167">
        <f t="shared" si="261"/>
        <v>0</v>
      </c>
      <c r="BN346" s="167">
        <f t="shared" si="262"/>
        <v>0</v>
      </c>
    </row>
    <row r="347" spans="1:66" s="171" customFormat="1" ht="15.75" hidden="1" customHeight="1" outlineLevel="3" x14ac:dyDescent="0.3">
      <c r="A347" s="169"/>
      <c r="B347" s="169"/>
      <c r="C347" s="169"/>
      <c r="D347" s="169"/>
      <c r="E347" s="169" t="s">
        <v>2589</v>
      </c>
      <c r="F347" s="169" t="s">
        <v>64</v>
      </c>
      <c r="G347" s="169">
        <v>145</v>
      </c>
      <c r="H347" s="169" t="s">
        <v>362</v>
      </c>
      <c r="I347" s="303">
        <f t="shared" si="255"/>
        <v>0</v>
      </c>
      <c r="J347" s="165">
        <f t="shared" ref="J347:J362" si="264">SUM(N347:AH347)</f>
        <v>0</v>
      </c>
      <c r="K347" s="150">
        <f t="shared" si="257"/>
        <v>0</v>
      </c>
      <c r="L347" s="150">
        <f t="shared" si="258"/>
        <v>0</v>
      </c>
      <c r="M347" s="166"/>
      <c r="N347" s="150"/>
      <c r="O347" s="150"/>
      <c r="P347" s="150"/>
      <c r="Q347" s="150"/>
      <c r="R347" s="150"/>
      <c r="S347" s="150"/>
      <c r="T347" s="150"/>
      <c r="U347" s="150"/>
      <c r="V347" s="150"/>
      <c r="W347" s="150"/>
      <c r="X347" s="150"/>
      <c r="Y347" s="150"/>
      <c r="Z347" s="150"/>
      <c r="AA347" s="150"/>
      <c r="AB347" s="150"/>
      <c r="AC347" s="150"/>
      <c r="AD347" s="150"/>
      <c r="AE347" s="150"/>
      <c r="AF347" s="150"/>
      <c r="AG347" s="150"/>
      <c r="AH347" s="150"/>
      <c r="AI347" s="150"/>
      <c r="AJ347" s="150"/>
      <c r="AK347" s="150"/>
      <c r="AL347" s="150"/>
      <c r="AM347" s="150"/>
      <c r="AN347" s="150"/>
      <c r="AO347" s="150"/>
      <c r="AP347" s="150"/>
      <c r="AQ347" s="150"/>
      <c r="AR347" s="150"/>
      <c r="AS347" s="150"/>
      <c r="AT347" s="150"/>
      <c r="AU347" s="150"/>
      <c r="AV347" s="150"/>
      <c r="AW347" s="150"/>
      <c r="AX347" s="150"/>
      <c r="AY347" s="150"/>
      <c r="AZ347" s="150"/>
      <c r="BA347" s="150"/>
      <c r="BB347" s="150"/>
      <c r="BC347" s="170"/>
      <c r="BD347" s="170"/>
      <c r="BE347" s="170"/>
      <c r="BF347" s="170"/>
      <c r="BG347" s="170"/>
      <c r="BH347" s="170"/>
      <c r="BI347" s="170"/>
      <c r="BJ347" s="170"/>
      <c r="BK347" s="167">
        <f t="shared" si="259"/>
        <v>0</v>
      </c>
      <c r="BL347" s="167">
        <f t="shared" si="260"/>
        <v>0</v>
      </c>
      <c r="BM347" s="167">
        <f t="shared" si="261"/>
        <v>0</v>
      </c>
      <c r="BN347" s="167">
        <f t="shared" si="262"/>
        <v>0</v>
      </c>
    </row>
    <row r="348" spans="1:66" s="171" customFormat="1" ht="15.75" hidden="1" customHeight="1" outlineLevel="3" x14ac:dyDescent="0.3">
      <c r="A348" s="169"/>
      <c r="B348" s="169"/>
      <c r="C348" s="169"/>
      <c r="D348" s="169"/>
      <c r="E348" s="169" t="s">
        <v>2589</v>
      </c>
      <c r="F348" s="169" t="s">
        <v>64</v>
      </c>
      <c r="G348" s="169">
        <v>146</v>
      </c>
      <c r="H348" s="169" t="s">
        <v>364</v>
      </c>
      <c r="I348" s="303">
        <f t="shared" si="255"/>
        <v>0</v>
      </c>
      <c r="J348" s="165">
        <f t="shared" si="264"/>
        <v>0</v>
      </c>
      <c r="K348" s="150">
        <f t="shared" si="257"/>
        <v>0</v>
      </c>
      <c r="L348" s="150">
        <f t="shared" si="258"/>
        <v>0</v>
      </c>
      <c r="M348" s="166"/>
      <c r="N348" s="150"/>
      <c r="O348" s="150"/>
      <c r="P348" s="150"/>
      <c r="Q348" s="150"/>
      <c r="R348" s="150"/>
      <c r="S348" s="150"/>
      <c r="T348" s="150"/>
      <c r="U348" s="150"/>
      <c r="V348" s="150"/>
      <c r="W348" s="150"/>
      <c r="X348" s="150"/>
      <c r="Y348" s="150"/>
      <c r="Z348" s="150"/>
      <c r="AA348" s="150"/>
      <c r="AB348" s="150"/>
      <c r="AC348" s="150"/>
      <c r="AD348" s="150"/>
      <c r="AE348" s="150"/>
      <c r="AF348" s="150"/>
      <c r="AG348" s="150"/>
      <c r="AH348" s="150"/>
      <c r="AI348" s="150"/>
      <c r="AJ348" s="150"/>
      <c r="AK348" s="150"/>
      <c r="AL348" s="150"/>
      <c r="AM348" s="150"/>
      <c r="AN348" s="150"/>
      <c r="AO348" s="150"/>
      <c r="AP348" s="150"/>
      <c r="AQ348" s="150"/>
      <c r="AR348" s="150"/>
      <c r="AS348" s="150"/>
      <c r="AT348" s="150"/>
      <c r="AU348" s="150"/>
      <c r="AV348" s="150"/>
      <c r="AW348" s="150"/>
      <c r="AX348" s="150"/>
      <c r="AY348" s="150"/>
      <c r="AZ348" s="150"/>
      <c r="BA348" s="150"/>
      <c r="BB348" s="150"/>
      <c r="BC348" s="170"/>
      <c r="BD348" s="170"/>
      <c r="BE348" s="170"/>
      <c r="BF348" s="170"/>
      <c r="BG348" s="170"/>
      <c r="BH348" s="170"/>
      <c r="BI348" s="170"/>
      <c r="BJ348" s="170"/>
      <c r="BK348" s="167">
        <f t="shared" si="259"/>
        <v>0</v>
      </c>
      <c r="BL348" s="167">
        <f t="shared" si="260"/>
        <v>0</v>
      </c>
      <c r="BM348" s="167">
        <f t="shared" si="261"/>
        <v>0</v>
      </c>
      <c r="BN348" s="167">
        <f t="shared" si="262"/>
        <v>0</v>
      </c>
    </row>
    <row r="349" spans="1:66" s="171" customFormat="1" ht="15.75" hidden="1" customHeight="1" outlineLevel="3" x14ac:dyDescent="0.3">
      <c r="A349" s="169"/>
      <c r="B349" s="169"/>
      <c r="C349" s="169"/>
      <c r="D349" s="169"/>
      <c r="E349" s="169" t="s">
        <v>2589</v>
      </c>
      <c r="F349" s="169" t="s">
        <v>64</v>
      </c>
      <c r="G349" s="169">
        <v>147</v>
      </c>
      <c r="H349" s="169" t="s">
        <v>365</v>
      </c>
      <c r="I349" s="303">
        <f t="shared" si="255"/>
        <v>0</v>
      </c>
      <c r="J349" s="165">
        <f t="shared" si="264"/>
        <v>0</v>
      </c>
      <c r="K349" s="150">
        <f t="shared" si="257"/>
        <v>0</v>
      </c>
      <c r="L349" s="150">
        <f t="shared" si="258"/>
        <v>0</v>
      </c>
      <c r="M349" s="166"/>
      <c r="N349" s="150"/>
      <c r="O349" s="150"/>
      <c r="P349" s="150"/>
      <c r="Q349" s="150"/>
      <c r="R349" s="150"/>
      <c r="S349" s="150"/>
      <c r="T349" s="150"/>
      <c r="U349" s="150"/>
      <c r="V349" s="150"/>
      <c r="W349" s="150"/>
      <c r="X349" s="150"/>
      <c r="Y349" s="150"/>
      <c r="Z349" s="150"/>
      <c r="AA349" s="150"/>
      <c r="AB349" s="150"/>
      <c r="AC349" s="150"/>
      <c r="AD349" s="150"/>
      <c r="AE349" s="150"/>
      <c r="AF349" s="150"/>
      <c r="AG349" s="150"/>
      <c r="AH349" s="150"/>
      <c r="AI349" s="150"/>
      <c r="AJ349" s="150"/>
      <c r="AK349" s="150"/>
      <c r="AL349" s="150"/>
      <c r="AM349" s="150"/>
      <c r="AN349" s="150"/>
      <c r="AO349" s="150"/>
      <c r="AP349" s="150"/>
      <c r="AQ349" s="150"/>
      <c r="AR349" s="150"/>
      <c r="AS349" s="150"/>
      <c r="AT349" s="150"/>
      <c r="AU349" s="150"/>
      <c r="AV349" s="150"/>
      <c r="AW349" s="150"/>
      <c r="AX349" s="150"/>
      <c r="AY349" s="150"/>
      <c r="AZ349" s="150"/>
      <c r="BA349" s="150"/>
      <c r="BB349" s="150"/>
      <c r="BC349" s="170"/>
      <c r="BD349" s="170"/>
      <c r="BE349" s="170"/>
      <c r="BF349" s="170"/>
      <c r="BG349" s="170"/>
      <c r="BH349" s="170"/>
      <c r="BI349" s="170"/>
      <c r="BJ349" s="170"/>
      <c r="BK349" s="167">
        <f t="shared" si="259"/>
        <v>0</v>
      </c>
      <c r="BL349" s="167">
        <f t="shared" si="260"/>
        <v>0</v>
      </c>
      <c r="BM349" s="167">
        <f t="shared" si="261"/>
        <v>0</v>
      </c>
      <c r="BN349" s="167">
        <f t="shared" si="262"/>
        <v>0</v>
      </c>
    </row>
    <row r="350" spans="1:66" s="171" customFormat="1" ht="15.75" hidden="1" customHeight="1" outlineLevel="3" x14ac:dyDescent="0.3">
      <c r="A350" s="169"/>
      <c r="B350" s="169"/>
      <c r="C350" s="169"/>
      <c r="D350" s="169"/>
      <c r="E350" s="169" t="s">
        <v>2589</v>
      </c>
      <c r="F350" s="169" t="s">
        <v>64</v>
      </c>
      <c r="G350" s="169">
        <v>148</v>
      </c>
      <c r="H350" s="169" t="s">
        <v>366</v>
      </c>
      <c r="I350" s="303">
        <f t="shared" ref="I350:I354" si="265">+J350</f>
        <v>0</v>
      </c>
      <c r="J350" s="165">
        <f t="shared" si="264"/>
        <v>0</v>
      </c>
      <c r="K350" s="150">
        <f t="shared" si="257"/>
        <v>0</v>
      </c>
      <c r="L350" s="150">
        <f t="shared" si="258"/>
        <v>0</v>
      </c>
      <c r="M350" s="166"/>
      <c r="N350" s="150"/>
      <c r="O350" s="150"/>
      <c r="P350" s="150"/>
      <c r="Q350" s="150"/>
      <c r="R350" s="150"/>
      <c r="S350" s="150"/>
      <c r="T350" s="150"/>
      <c r="U350" s="150"/>
      <c r="V350" s="150"/>
      <c r="W350" s="150"/>
      <c r="X350" s="150"/>
      <c r="Y350" s="150"/>
      <c r="Z350" s="150"/>
      <c r="AA350" s="150"/>
      <c r="AB350" s="150"/>
      <c r="AC350" s="150"/>
      <c r="AD350" s="150"/>
      <c r="AE350" s="150"/>
      <c r="AF350" s="150"/>
      <c r="AG350" s="150"/>
      <c r="AH350" s="150"/>
      <c r="AI350" s="150"/>
      <c r="AJ350" s="150"/>
      <c r="AK350" s="150"/>
      <c r="AL350" s="150"/>
      <c r="AM350" s="150"/>
      <c r="AN350" s="150"/>
      <c r="AO350" s="150"/>
      <c r="AP350" s="150"/>
      <c r="AQ350" s="150"/>
      <c r="AR350" s="150"/>
      <c r="AS350" s="150"/>
      <c r="AT350" s="150"/>
      <c r="AU350" s="150"/>
      <c r="AV350" s="150"/>
      <c r="AW350" s="150"/>
      <c r="AX350" s="150"/>
      <c r="AY350" s="150"/>
      <c r="AZ350" s="150"/>
      <c r="BA350" s="150"/>
      <c r="BB350" s="150"/>
      <c r="BC350" s="170"/>
      <c r="BD350" s="170"/>
      <c r="BE350" s="170"/>
      <c r="BF350" s="170"/>
      <c r="BG350" s="170"/>
      <c r="BH350" s="170"/>
      <c r="BI350" s="170"/>
      <c r="BJ350" s="170"/>
      <c r="BK350" s="167">
        <f t="shared" si="259"/>
        <v>0</v>
      </c>
      <c r="BL350" s="167">
        <f t="shared" si="260"/>
        <v>0</v>
      </c>
      <c r="BM350" s="167">
        <f t="shared" si="261"/>
        <v>0</v>
      </c>
      <c r="BN350" s="167">
        <f t="shared" si="262"/>
        <v>0</v>
      </c>
    </row>
    <row r="351" spans="1:66" s="171" customFormat="1" ht="15.75" hidden="1" customHeight="1" outlineLevel="3" x14ac:dyDescent="0.3">
      <c r="A351" s="169"/>
      <c r="B351" s="169"/>
      <c r="C351" s="169"/>
      <c r="D351" s="169"/>
      <c r="E351" s="169" t="s">
        <v>2589</v>
      </c>
      <c r="F351" s="169" t="s">
        <v>64</v>
      </c>
      <c r="G351" s="169">
        <v>149</v>
      </c>
      <c r="H351" s="169" t="s">
        <v>368</v>
      </c>
      <c r="I351" s="303">
        <f t="shared" si="265"/>
        <v>0</v>
      </c>
      <c r="J351" s="165">
        <f t="shared" si="264"/>
        <v>0</v>
      </c>
      <c r="K351" s="150">
        <f t="shared" si="257"/>
        <v>0</v>
      </c>
      <c r="L351" s="150">
        <f t="shared" si="258"/>
        <v>0</v>
      </c>
      <c r="M351" s="166"/>
      <c r="N351" s="150"/>
      <c r="O351" s="150"/>
      <c r="P351" s="150"/>
      <c r="Q351" s="150"/>
      <c r="R351" s="150"/>
      <c r="S351" s="150"/>
      <c r="T351" s="150"/>
      <c r="U351" s="150"/>
      <c r="V351" s="150"/>
      <c r="W351" s="150"/>
      <c r="X351" s="150"/>
      <c r="Y351" s="150"/>
      <c r="Z351" s="150"/>
      <c r="AA351" s="150"/>
      <c r="AB351" s="150"/>
      <c r="AC351" s="150"/>
      <c r="AD351" s="150"/>
      <c r="AE351" s="150"/>
      <c r="AF351" s="150"/>
      <c r="AG351" s="150"/>
      <c r="AH351" s="150"/>
      <c r="AI351" s="150"/>
      <c r="AJ351" s="150"/>
      <c r="AK351" s="150"/>
      <c r="AL351" s="150"/>
      <c r="AM351" s="150"/>
      <c r="AN351" s="150"/>
      <c r="AO351" s="150"/>
      <c r="AP351" s="150"/>
      <c r="AQ351" s="150"/>
      <c r="AR351" s="150"/>
      <c r="AS351" s="150"/>
      <c r="AT351" s="150"/>
      <c r="AU351" s="150"/>
      <c r="AV351" s="150"/>
      <c r="AW351" s="150"/>
      <c r="AX351" s="150"/>
      <c r="AY351" s="150"/>
      <c r="AZ351" s="150"/>
      <c r="BA351" s="150"/>
      <c r="BB351" s="150"/>
      <c r="BC351" s="170"/>
      <c r="BD351" s="170"/>
      <c r="BE351" s="170"/>
      <c r="BF351" s="170"/>
      <c r="BG351" s="170"/>
      <c r="BH351" s="170"/>
      <c r="BI351" s="170"/>
      <c r="BJ351" s="170"/>
      <c r="BK351" s="167">
        <f t="shared" si="259"/>
        <v>0</v>
      </c>
      <c r="BL351" s="167">
        <f t="shared" si="260"/>
        <v>0</v>
      </c>
      <c r="BM351" s="167">
        <f t="shared" si="261"/>
        <v>0</v>
      </c>
      <c r="BN351" s="167">
        <f t="shared" si="262"/>
        <v>0</v>
      </c>
    </row>
    <row r="352" spans="1:66" s="171" customFormat="1" ht="15.75" hidden="1" customHeight="1" outlineLevel="3" x14ac:dyDescent="0.3">
      <c r="A352" s="169"/>
      <c r="B352" s="169"/>
      <c r="C352" s="169"/>
      <c r="D352" s="169"/>
      <c r="E352" s="169" t="s">
        <v>2589</v>
      </c>
      <c r="F352" s="169" t="s">
        <v>64</v>
      </c>
      <c r="G352" s="169">
        <v>158</v>
      </c>
      <c r="H352" s="169" t="s">
        <v>380</v>
      </c>
      <c r="I352" s="303">
        <f t="shared" si="265"/>
        <v>0</v>
      </c>
      <c r="J352" s="165">
        <f t="shared" si="264"/>
        <v>0</v>
      </c>
      <c r="K352" s="150">
        <f t="shared" ref="K352" si="266">+I352-J352</f>
        <v>0</v>
      </c>
      <c r="L352" s="150">
        <f t="shared" si="258"/>
        <v>0</v>
      </c>
      <c r="M352" s="166"/>
      <c r="N352" s="150"/>
      <c r="O352" s="150"/>
      <c r="P352" s="150"/>
      <c r="Q352" s="150"/>
      <c r="R352" s="150"/>
      <c r="S352" s="150"/>
      <c r="T352" s="150"/>
      <c r="U352" s="150"/>
      <c r="V352" s="150"/>
      <c r="W352" s="150"/>
      <c r="X352" s="150"/>
      <c r="Y352" s="150"/>
      <c r="Z352" s="150"/>
      <c r="AA352" s="150"/>
      <c r="AB352" s="150"/>
      <c r="AC352" s="150"/>
      <c r="AD352" s="150"/>
      <c r="AE352" s="150"/>
      <c r="AF352" s="150"/>
      <c r="AG352" s="150"/>
      <c r="AH352" s="150"/>
      <c r="AI352" s="150"/>
      <c r="AJ352" s="150"/>
      <c r="AK352" s="150"/>
      <c r="AL352" s="150"/>
      <c r="AM352" s="150"/>
      <c r="AN352" s="150"/>
      <c r="AO352" s="150"/>
      <c r="AP352" s="150"/>
      <c r="AQ352" s="150"/>
      <c r="AR352" s="150"/>
      <c r="AS352" s="150"/>
      <c r="AT352" s="150"/>
      <c r="AU352" s="150"/>
      <c r="AV352" s="150"/>
      <c r="AW352" s="150"/>
      <c r="AX352" s="150"/>
      <c r="AY352" s="150"/>
      <c r="AZ352" s="150"/>
      <c r="BA352" s="150"/>
      <c r="BB352" s="150"/>
      <c r="BC352" s="170"/>
      <c r="BD352" s="170"/>
      <c r="BE352" s="170"/>
      <c r="BF352" s="170"/>
      <c r="BG352" s="170"/>
      <c r="BH352" s="170"/>
      <c r="BI352" s="170"/>
      <c r="BJ352" s="170"/>
      <c r="BK352" s="167">
        <f t="shared" si="259"/>
        <v>0</v>
      </c>
      <c r="BL352" s="167">
        <f t="shared" si="260"/>
        <v>0</v>
      </c>
      <c r="BM352" s="167">
        <f t="shared" si="261"/>
        <v>0</v>
      </c>
      <c r="BN352" s="167">
        <f t="shared" si="262"/>
        <v>0</v>
      </c>
    </row>
    <row r="353" spans="1:66" s="171" customFormat="1" ht="15.75" hidden="1" customHeight="1" outlineLevel="3" x14ac:dyDescent="0.3">
      <c r="A353" s="169"/>
      <c r="B353" s="169"/>
      <c r="C353" s="169"/>
      <c r="D353" s="169"/>
      <c r="E353" s="169" t="s">
        <v>2589</v>
      </c>
      <c r="F353" s="169" t="s">
        <v>64</v>
      </c>
      <c r="G353" s="169">
        <v>203</v>
      </c>
      <c r="H353" s="169" t="s">
        <v>456</v>
      </c>
      <c r="I353" s="303">
        <f t="shared" si="265"/>
        <v>0</v>
      </c>
      <c r="J353" s="165">
        <f t="shared" si="264"/>
        <v>0</v>
      </c>
      <c r="K353" s="150">
        <f t="shared" ref="K353" si="267">+I353-J353</f>
        <v>0</v>
      </c>
      <c r="L353" s="150">
        <f t="shared" si="258"/>
        <v>0</v>
      </c>
      <c r="M353" s="166"/>
      <c r="N353" s="150"/>
      <c r="O353" s="150"/>
      <c r="P353" s="150"/>
      <c r="Q353" s="150"/>
      <c r="R353" s="150"/>
      <c r="S353" s="150"/>
      <c r="T353" s="150"/>
      <c r="U353" s="150"/>
      <c r="V353" s="150"/>
      <c r="W353" s="150"/>
      <c r="X353" s="150"/>
      <c r="Y353" s="150"/>
      <c r="Z353" s="150"/>
      <c r="AA353" s="150"/>
      <c r="AB353" s="150"/>
      <c r="AC353" s="150"/>
      <c r="AD353" s="150"/>
      <c r="AE353" s="150"/>
      <c r="AF353" s="150"/>
      <c r="AG353" s="150"/>
      <c r="AH353" s="150"/>
      <c r="AI353" s="150"/>
      <c r="AJ353" s="150"/>
      <c r="AK353" s="150"/>
      <c r="AL353" s="150"/>
      <c r="AM353" s="150"/>
      <c r="AN353" s="150"/>
      <c r="AO353" s="150"/>
      <c r="AP353" s="150"/>
      <c r="AQ353" s="150"/>
      <c r="AR353" s="150"/>
      <c r="AS353" s="150"/>
      <c r="AT353" s="150"/>
      <c r="AU353" s="150"/>
      <c r="AV353" s="150"/>
      <c r="AW353" s="150"/>
      <c r="AX353" s="150"/>
      <c r="AY353" s="150"/>
      <c r="AZ353" s="150"/>
      <c r="BA353" s="150"/>
      <c r="BB353" s="150"/>
      <c r="BC353" s="170"/>
      <c r="BD353" s="170"/>
      <c r="BE353" s="170"/>
      <c r="BF353" s="170"/>
      <c r="BG353" s="170"/>
      <c r="BH353" s="170"/>
      <c r="BI353" s="170"/>
      <c r="BJ353" s="170"/>
      <c r="BK353" s="167">
        <f t="shared" si="259"/>
        <v>0</v>
      </c>
      <c r="BL353" s="167">
        <f t="shared" si="260"/>
        <v>0</v>
      </c>
      <c r="BM353" s="167">
        <f t="shared" si="261"/>
        <v>0</v>
      </c>
      <c r="BN353" s="167">
        <f t="shared" si="262"/>
        <v>0</v>
      </c>
    </row>
    <row r="354" spans="1:66" s="171" customFormat="1" ht="15.75" hidden="1" customHeight="1" outlineLevel="3" x14ac:dyDescent="0.3">
      <c r="A354" s="169"/>
      <c r="B354" s="169"/>
      <c r="C354" s="169"/>
      <c r="D354" s="169"/>
      <c r="E354" s="169" t="s">
        <v>2589</v>
      </c>
      <c r="F354" s="169" t="s">
        <v>64</v>
      </c>
      <c r="G354" s="169">
        <v>210</v>
      </c>
      <c r="H354" s="169" t="s">
        <v>468</v>
      </c>
      <c r="I354" s="303">
        <f t="shared" si="265"/>
        <v>0</v>
      </c>
      <c r="J354" s="165">
        <f t="shared" si="264"/>
        <v>0</v>
      </c>
      <c r="K354" s="150">
        <f t="shared" si="257"/>
        <v>0</v>
      </c>
      <c r="L354" s="150">
        <f t="shared" si="258"/>
        <v>0</v>
      </c>
      <c r="M354" s="166"/>
      <c r="N354" s="150"/>
      <c r="O354" s="150"/>
      <c r="P354" s="150"/>
      <c r="Q354" s="150"/>
      <c r="R354" s="150"/>
      <c r="S354" s="150"/>
      <c r="T354" s="150"/>
      <c r="U354" s="150"/>
      <c r="V354" s="150"/>
      <c r="W354" s="150"/>
      <c r="X354" s="150"/>
      <c r="Y354" s="150"/>
      <c r="Z354" s="150"/>
      <c r="AA354" s="150"/>
      <c r="AB354" s="150"/>
      <c r="AC354" s="150"/>
      <c r="AD354" s="150"/>
      <c r="AE354" s="150"/>
      <c r="AF354" s="150"/>
      <c r="AG354" s="150"/>
      <c r="AH354" s="150"/>
      <c r="AI354" s="150"/>
      <c r="AJ354" s="150"/>
      <c r="AK354" s="150"/>
      <c r="AL354" s="150"/>
      <c r="AM354" s="150"/>
      <c r="AN354" s="150"/>
      <c r="AO354" s="150"/>
      <c r="AP354" s="150"/>
      <c r="AQ354" s="150"/>
      <c r="AR354" s="150"/>
      <c r="AS354" s="150"/>
      <c r="AT354" s="150"/>
      <c r="AU354" s="150"/>
      <c r="AV354" s="150"/>
      <c r="AW354" s="150"/>
      <c r="AX354" s="150"/>
      <c r="AY354" s="150"/>
      <c r="AZ354" s="150"/>
      <c r="BA354" s="150"/>
      <c r="BB354" s="150"/>
      <c r="BC354" s="170"/>
      <c r="BD354" s="170"/>
      <c r="BE354" s="170"/>
      <c r="BF354" s="170"/>
      <c r="BG354" s="170"/>
      <c r="BH354" s="170"/>
      <c r="BI354" s="170"/>
      <c r="BJ354" s="170"/>
      <c r="BK354" s="167">
        <f t="shared" si="259"/>
        <v>0</v>
      </c>
      <c r="BL354" s="167">
        <f t="shared" si="260"/>
        <v>0</v>
      </c>
      <c r="BM354" s="167">
        <f t="shared" si="261"/>
        <v>0</v>
      </c>
      <c r="BN354" s="167">
        <f t="shared" si="262"/>
        <v>0</v>
      </c>
    </row>
    <row r="355" spans="1:66" s="171" customFormat="1" hidden="1" outlineLevel="2" collapsed="1" x14ac:dyDescent="0.3">
      <c r="A355" s="183" t="s">
        <v>48</v>
      </c>
      <c r="B355" s="183"/>
      <c r="C355" s="183"/>
      <c r="D355" s="183"/>
      <c r="E355" s="164" t="str">
        <f>VLOOKUP(A355,'Kiadások 2a SZH 2023'!A:B,2,0)</f>
        <v>Szakmai gyakorlatok és terepgyakorlatok (2021. évi igény alapján)</v>
      </c>
      <c r="F355" s="183" t="s">
        <v>2695</v>
      </c>
      <c r="G355" s="200"/>
      <c r="H355" s="164" t="s">
        <v>2617</v>
      </c>
      <c r="I355" s="165">
        <f>IFERROR(VLOOKUP($A355,'Kiadások 2a SZH 2023'!$A:$M,MATCH($I$1,'Kiadások 2a SZH 2023'!$A$1:$M$1,0),0), )</f>
        <v>0</v>
      </c>
      <c r="J355" s="165">
        <f t="shared" si="264"/>
        <v>0</v>
      </c>
      <c r="K355" s="165">
        <f t="shared" si="257"/>
        <v>0</v>
      </c>
      <c r="L355" s="165">
        <f t="shared" ref="L355:L361" si="268">SUM(N355:BJ355)</f>
        <v>0</v>
      </c>
      <c r="M355" s="173"/>
      <c r="N355" s="165">
        <f>+N356+N359</f>
        <v>0</v>
      </c>
      <c r="O355" s="165">
        <f>+O356+O359</f>
        <v>0</v>
      </c>
      <c r="P355" s="165">
        <f t="shared" ref="P355:Z355" si="269">+P356+P359</f>
        <v>0</v>
      </c>
      <c r="Q355" s="165">
        <f t="shared" si="269"/>
        <v>0</v>
      </c>
      <c r="R355" s="165">
        <f t="shared" si="269"/>
        <v>0</v>
      </c>
      <c r="S355" s="165">
        <f t="shared" si="269"/>
        <v>0</v>
      </c>
      <c r="T355" s="165">
        <f t="shared" si="269"/>
        <v>0</v>
      </c>
      <c r="U355" s="165">
        <f t="shared" si="269"/>
        <v>0</v>
      </c>
      <c r="V355" s="165">
        <f t="shared" si="269"/>
        <v>0</v>
      </c>
      <c r="W355" s="165">
        <f t="shared" si="269"/>
        <v>0</v>
      </c>
      <c r="X355" s="165">
        <f t="shared" si="269"/>
        <v>0</v>
      </c>
      <c r="Y355" s="165">
        <f t="shared" si="269"/>
        <v>0</v>
      </c>
      <c r="Z355" s="165">
        <f t="shared" si="269"/>
        <v>0</v>
      </c>
      <c r="AA355" s="165">
        <f t="shared" ref="AA355:AL355" si="270">+AA356+AA359</f>
        <v>0</v>
      </c>
      <c r="AB355" s="165">
        <f t="shared" si="270"/>
        <v>0</v>
      </c>
      <c r="AC355" s="150">
        <f t="shared" si="270"/>
        <v>0</v>
      </c>
      <c r="AD355" s="150">
        <f t="shared" si="270"/>
        <v>0</v>
      </c>
      <c r="AE355" s="150">
        <f t="shared" si="270"/>
        <v>0</v>
      </c>
      <c r="AF355" s="165">
        <f t="shared" ref="AF355" si="271">+AF356+AF359</f>
        <v>0</v>
      </c>
      <c r="AG355" s="150">
        <f t="shared" ref="AG355" si="272">+AG356+AG359</f>
        <v>0</v>
      </c>
      <c r="AH355" s="150">
        <f t="shared" si="270"/>
        <v>0</v>
      </c>
      <c r="AI355" s="150">
        <f t="shared" si="270"/>
        <v>0</v>
      </c>
      <c r="AJ355" s="150">
        <f t="shared" si="270"/>
        <v>0</v>
      </c>
      <c r="AK355" s="150">
        <f t="shared" si="270"/>
        <v>0</v>
      </c>
      <c r="AL355" s="150">
        <f t="shared" si="270"/>
        <v>0</v>
      </c>
      <c r="AM355" s="150"/>
      <c r="AN355" s="150"/>
      <c r="AO355" s="150"/>
      <c r="AP355" s="150"/>
      <c r="AQ355" s="150"/>
      <c r="AR355" s="150"/>
      <c r="AS355" s="150"/>
      <c r="AT355" s="150"/>
      <c r="AU355" s="150"/>
      <c r="AV355" s="150"/>
      <c r="AW355" s="150"/>
      <c r="AX355" s="150"/>
      <c r="AY355" s="150"/>
      <c r="AZ355" s="150"/>
      <c r="BA355" s="150"/>
      <c r="BB355" s="150"/>
      <c r="BC355" s="170"/>
      <c r="BD355" s="170"/>
      <c r="BE355" s="170"/>
      <c r="BF355" s="170"/>
      <c r="BG355" s="170"/>
      <c r="BH355" s="170"/>
      <c r="BI355" s="170"/>
      <c r="BJ355" s="170"/>
      <c r="BK355" s="167">
        <f t="shared" si="259"/>
        <v>0</v>
      </c>
      <c r="BL355" s="167">
        <f t="shared" si="260"/>
        <v>0</v>
      </c>
      <c r="BM355" s="167">
        <f t="shared" si="261"/>
        <v>0</v>
      </c>
      <c r="BN355" s="167">
        <f t="shared" si="262"/>
        <v>0</v>
      </c>
    </row>
    <row r="356" spans="1:66" s="171" customFormat="1" ht="15.75" hidden="1" customHeight="1" outlineLevel="3" x14ac:dyDescent="0.3">
      <c r="A356" s="169"/>
      <c r="B356" s="164"/>
      <c r="C356" s="164"/>
      <c r="D356" s="164"/>
      <c r="E356" s="164" t="s">
        <v>2753</v>
      </c>
      <c r="F356" s="169"/>
      <c r="G356" s="169"/>
      <c r="H356" s="164" t="s">
        <v>2617</v>
      </c>
      <c r="I356" s="165">
        <f>SUM(I357:I358)</f>
        <v>0</v>
      </c>
      <c r="J356" s="165">
        <f t="shared" si="264"/>
        <v>0</v>
      </c>
      <c r="K356" s="165">
        <f>+I356-J356</f>
        <v>0</v>
      </c>
      <c r="L356" s="165">
        <f t="shared" si="268"/>
        <v>0</v>
      </c>
      <c r="M356" s="173"/>
      <c r="N356" s="165">
        <f t="shared" ref="N356:AL356" si="273">+N357+N358</f>
        <v>0</v>
      </c>
      <c r="O356" s="165">
        <f t="shared" ref="O356:Z356" si="274">+O357+O358</f>
        <v>0</v>
      </c>
      <c r="P356" s="165">
        <f t="shared" si="274"/>
        <v>0</v>
      </c>
      <c r="Q356" s="165">
        <f t="shared" si="274"/>
        <v>0</v>
      </c>
      <c r="R356" s="165">
        <f t="shared" si="274"/>
        <v>0</v>
      </c>
      <c r="S356" s="165">
        <f t="shared" si="274"/>
        <v>0</v>
      </c>
      <c r="T356" s="165">
        <f t="shared" si="274"/>
        <v>0</v>
      </c>
      <c r="U356" s="165">
        <f t="shared" si="274"/>
        <v>0</v>
      </c>
      <c r="V356" s="165">
        <f t="shared" si="274"/>
        <v>0</v>
      </c>
      <c r="W356" s="165">
        <f t="shared" si="274"/>
        <v>0</v>
      </c>
      <c r="X356" s="165">
        <f t="shared" si="274"/>
        <v>0</v>
      </c>
      <c r="Y356" s="165">
        <f t="shared" si="274"/>
        <v>0</v>
      </c>
      <c r="Z356" s="165">
        <f t="shared" si="274"/>
        <v>0</v>
      </c>
      <c r="AA356" s="165">
        <f t="shared" si="273"/>
        <v>0</v>
      </c>
      <c r="AB356" s="165">
        <f t="shared" si="273"/>
        <v>0</v>
      </c>
      <c r="AC356" s="150">
        <f t="shared" si="273"/>
        <v>0</v>
      </c>
      <c r="AD356" s="150">
        <f t="shared" si="273"/>
        <v>0</v>
      </c>
      <c r="AE356" s="150">
        <f t="shared" si="273"/>
        <v>0</v>
      </c>
      <c r="AF356" s="165">
        <f t="shared" ref="AF356" si="275">+AF357+AF358</f>
        <v>0</v>
      </c>
      <c r="AG356" s="150">
        <f t="shared" ref="AG356" si="276">+AG357+AG358</f>
        <v>0</v>
      </c>
      <c r="AH356" s="150">
        <f t="shared" si="273"/>
        <v>0</v>
      </c>
      <c r="AI356" s="150">
        <f t="shared" si="273"/>
        <v>0</v>
      </c>
      <c r="AJ356" s="150">
        <f t="shared" si="273"/>
        <v>0</v>
      </c>
      <c r="AK356" s="150">
        <f t="shared" si="273"/>
        <v>0</v>
      </c>
      <c r="AL356" s="150">
        <f t="shared" si="273"/>
        <v>0</v>
      </c>
      <c r="AM356" s="150"/>
      <c r="AN356" s="150"/>
      <c r="AO356" s="150"/>
      <c r="AP356" s="150"/>
      <c r="AQ356" s="150"/>
      <c r="AR356" s="150"/>
      <c r="AS356" s="150"/>
      <c r="AT356" s="150"/>
      <c r="AU356" s="150"/>
      <c r="AV356" s="150"/>
      <c r="AW356" s="150"/>
      <c r="AX356" s="150"/>
      <c r="AY356" s="150"/>
      <c r="AZ356" s="150"/>
      <c r="BA356" s="150"/>
      <c r="BB356" s="150"/>
      <c r="BC356" s="170"/>
      <c r="BD356" s="170"/>
      <c r="BE356" s="170"/>
      <c r="BF356" s="170"/>
      <c r="BG356" s="170"/>
      <c r="BH356" s="170"/>
      <c r="BI356" s="170"/>
      <c r="BJ356" s="170"/>
      <c r="BK356" s="167">
        <f t="shared" si="259"/>
        <v>0</v>
      </c>
      <c r="BL356" s="167">
        <f t="shared" si="260"/>
        <v>0</v>
      </c>
      <c r="BM356" s="167">
        <f t="shared" si="261"/>
        <v>0</v>
      </c>
      <c r="BN356" s="167">
        <f t="shared" si="262"/>
        <v>0</v>
      </c>
    </row>
    <row r="357" spans="1:66" s="171" customFormat="1" ht="15.75" hidden="1" customHeight="1" outlineLevel="3" x14ac:dyDescent="0.3">
      <c r="A357" s="183"/>
      <c r="B357" s="164" t="s">
        <v>2735</v>
      </c>
      <c r="C357" s="164" t="s">
        <v>64</v>
      </c>
      <c r="D357" s="164" t="s">
        <v>2838</v>
      </c>
      <c r="E357" s="169" t="s">
        <v>2754</v>
      </c>
      <c r="F357" s="186" t="s">
        <v>66</v>
      </c>
      <c r="G357" s="200"/>
      <c r="H357" s="198" t="s">
        <v>2590</v>
      </c>
      <c r="I357" s="165"/>
      <c r="J357" s="165">
        <f t="shared" si="264"/>
        <v>0</v>
      </c>
      <c r="K357" s="150">
        <f>+I357-J357</f>
        <v>0</v>
      </c>
      <c r="L357" s="150">
        <f t="shared" si="268"/>
        <v>0</v>
      </c>
      <c r="M357" s="173"/>
      <c r="N357" s="150"/>
      <c r="O357" s="150"/>
      <c r="P357" s="150"/>
      <c r="Q357" s="150"/>
      <c r="R357" s="150"/>
      <c r="S357" s="150"/>
      <c r="T357" s="150"/>
      <c r="U357" s="150"/>
      <c r="V357" s="150"/>
      <c r="W357" s="150"/>
      <c r="X357" s="150"/>
      <c r="Y357" s="150"/>
      <c r="Z357" s="150"/>
      <c r="AA357" s="150"/>
      <c r="AB357" s="150"/>
      <c r="AC357" s="150"/>
      <c r="AD357" s="150"/>
      <c r="AE357" s="150"/>
      <c r="AF357" s="150"/>
      <c r="AG357" s="150"/>
      <c r="AH357" s="150"/>
      <c r="AI357" s="150"/>
      <c r="AJ357" s="150"/>
      <c r="AK357" s="150"/>
      <c r="AL357" s="150"/>
      <c r="AM357" s="150"/>
      <c r="AN357" s="150"/>
      <c r="AO357" s="150"/>
      <c r="AP357" s="150"/>
      <c r="AQ357" s="150"/>
      <c r="AR357" s="150"/>
      <c r="AS357" s="150"/>
      <c r="AT357" s="150"/>
      <c r="AU357" s="150"/>
      <c r="AV357" s="150"/>
      <c r="AW357" s="150"/>
      <c r="AX357" s="150"/>
      <c r="AY357" s="150"/>
      <c r="AZ357" s="150"/>
      <c r="BA357" s="150"/>
      <c r="BB357" s="150"/>
      <c r="BC357" s="170"/>
      <c r="BD357" s="170"/>
      <c r="BE357" s="170"/>
      <c r="BF357" s="170"/>
      <c r="BG357" s="170"/>
      <c r="BH357" s="170"/>
      <c r="BI357" s="170"/>
      <c r="BJ357" s="170"/>
      <c r="BK357" s="167">
        <f t="shared" si="259"/>
        <v>0</v>
      </c>
      <c r="BL357" s="167">
        <f t="shared" si="260"/>
        <v>0</v>
      </c>
      <c r="BM357" s="167">
        <f t="shared" si="261"/>
        <v>0</v>
      </c>
      <c r="BN357" s="167">
        <f t="shared" si="262"/>
        <v>0</v>
      </c>
    </row>
    <row r="358" spans="1:66" s="171" customFormat="1" ht="15.75" hidden="1" customHeight="1" outlineLevel="3" x14ac:dyDescent="0.3">
      <c r="A358" s="169"/>
      <c r="B358" s="164" t="s">
        <v>2728</v>
      </c>
      <c r="C358" s="164" t="s">
        <v>64</v>
      </c>
      <c r="D358" s="164" t="s">
        <v>2839</v>
      </c>
      <c r="E358" s="169" t="s">
        <v>2755</v>
      </c>
      <c r="F358" s="169" t="s">
        <v>66</v>
      </c>
      <c r="G358" s="169"/>
      <c r="H358" s="198" t="s">
        <v>2590</v>
      </c>
      <c r="I358" s="165"/>
      <c r="J358" s="165">
        <f t="shared" si="264"/>
        <v>0</v>
      </c>
      <c r="K358" s="150">
        <f t="shared" si="257"/>
        <v>0</v>
      </c>
      <c r="L358" s="150">
        <f t="shared" si="268"/>
        <v>0</v>
      </c>
      <c r="M358" s="173"/>
      <c r="N358" s="150"/>
      <c r="O358" s="150"/>
      <c r="P358" s="150"/>
      <c r="Q358" s="150"/>
      <c r="R358" s="150"/>
      <c r="S358" s="150"/>
      <c r="T358" s="150"/>
      <c r="U358" s="150"/>
      <c r="V358" s="150"/>
      <c r="W358" s="150"/>
      <c r="X358" s="150"/>
      <c r="Y358" s="150"/>
      <c r="Z358" s="150"/>
      <c r="AA358" s="150"/>
      <c r="AB358" s="150"/>
      <c r="AC358" s="150"/>
      <c r="AD358" s="150"/>
      <c r="AE358" s="150"/>
      <c r="AF358" s="150"/>
      <c r="AG358" s="150"/>
      <c r="AH358" s="150"/>
      <c r="AI358" s="150"/>
      <c r="AJ358" s="150"/>
      <c r="AK358" s="150"/>
      <c r="AL358" s="150"/>
      <c r="AM358" s="150"/>
      <c r="AN358" s="150"/>
      <c r="AO358" s="150"/>
      <c r="AP358" s="150"/>
      <c r="AQ358" s="150"/>
      <c r="AR358" s="150"/>
      <c r="AS358" s="150"/>
      <c r="AT358" s="150"/>
      <c r="AU358" s="150"/>
      <c r="AV358" s="150"/>
      <c r="AW358" s="150"/>
      <c r="AX358" s="150"/>
      <c r="AY358" s="150"/>
      <c r="AZ358" s="150"/>
      <c r="BA358" s="150"/>
      <c r="BB358" s="150"/>
      <c r="BC358" s="170"/>
      <c r="BD358" s="170"/>
      <c r="BE358" s="170"/>
      <c r="BF358" s="170"/>
      <c r="BG358" s="170"/>
      <c r="BH358" s="170"/>
      <c r="BI358" s="170"/>
      <c r="BJ358" s="170"/>
      <c r="BK358" s="167">
        <f t="shared" si="259"/>
        <v>0</v>
      </c>
      <c r="BL358" s="167">
        <f t="shared" si="260"/>
        <v>0</v>
      </c>
      <c r="BM358" s="167">
        <f t="shared" si="261"/>
        <v>0</v>
      </c>
      <c r="BN358" s="167">
        <f t="shared" si="262"/>
        <v>0</v>
      </c>
    </row>
    <row r="359" spans="1:66" s="171" customFormat="1" ht="15.75" hidden="1" customHeight="1" outlineLevel="3" x14ac:dyDescent="0.3">
      <c r="A359" s="169"/>
      <c r="B359" s="164"/>
      <c r="C359" s="164"/>
      <c r="D359" s="164"/>
      <c r="E359" s="164" t="s">
        <v>2749</v>
      </c>
      <c r="F359" s="169"/>
      <c r="G359" s="169"/>
      <c r="H359" s="164" t="s">
        <v>2617</v>
      </c>
      <c r="I359" s="165">
        <f>SUM(I360:I361)</f>
        <v>0</v>
      </c>
      <c r="J359" s="165">
        <f t="shared" si="264"/>
        <v>0</v>
      </c>
      <c r="K359" s="165">
        <f t="shared" si="257"/>
        <v>0</v>
      </c>
      <c r="L359" s="165">
        <f t="shared" si="268"/>
        <v>0</v>
      </c>
      <c r="M359" s="173"/>
      <c r="N359" s="165">
        <f>+N360+N361</f>
        <v>0</v>
      </c>
      <c r="O359" s="165">
        <f>+O360+O361</f>
        <v>0</v>
      </c>
      <c r="P359" s="165">
        <f t="shared" ref="P359:Z359" si="277">+P360+P361</f>
        <v>0</v>
      </c>
      <c r="Q359" s="165">
        <f t="shared" si="277"/>
        <v>0</v>
      </c>
      <c r="R359" s="165">
        <f t="shared" si="277"/>
        <v>0</v>
      </c>
      <c r="S359" s="165">
        <f t="shared" si="277"/>
        <v>0</v>
      </c>
      <c r="T359" s="165">
        <f t="shared" si="277"/>
        <v>0</v>
      </c>
      <c r="U359" s="165">
        <f t="shared" si="277"/>
        <v>0</v>
      </c>
      <c r="V359" s="165">
        <f t="shared" si="277"/>
        <v>0</v>
      </c>
      <c r="W359" s="165">
        <f t="shared" si="277"/>
        <v>0</v>
      </c>
      <c r="X359" s="165">
        <f t="shared" si="277"/>
        <v>0</v>
      </c>
      <c r="Y359" s="165">
        <f t="shared" si="277"/>
        <v>0</v>
      </c>
      <c r="Z359" s="165">
        <f t="shared" si="277"/>
        <v>0</v>
      </c>
      <c r="AA359" s="165">
        <f t="shared" ref="AA359:AL359" si="278">+AA360+AA361</f>
        <v>0</v>
      </c>
      <c r="AB359" s="165">
        <f t="shared" si="278"/>
        <v>0</v>
      </c>
      <c r="AC359" s="150">
        <f t="shared" si="278"/>
        <v>0</v>
      </c>
      <c r="AD359" s="150">
        <f t="shared" si="278"/>
        <v>0</v>
      </c>
      <c r="AE359" s="150">
        <f t="shared" si="278"/>
        <v>0</v>
      </c>
      <c r="AF359" s="150">
        <f t="shared" ref="AF359" si="279">+AF360+AF361</f>
        <v>0</v>
      </c>
      <c r="AG359" s="150">
        <f t="shared" ref="AG359" si="280">+AG360+AG361</f>
        <v>0</v>
      </c>
      <c r="AH359" s="150">
        <f t="shared" si="278"/>
        <v>0</v>
      </c>
      <c r="AI359" s="150">
        <f t="shared" si="278"/>
        <v>0</v>
      </c>
      <c r="AJ359" s="150">
        <f t="shared" si="278"/>
        <v>0</v>
      </c>
      <c r="AK359" s="150">
        <f t="shared" si="278"/>
        <v>0</v>
      </c>
      <c r="AL359" s="150">
        <f t="shared" si="278"/>
        <v>0</v>
      </c>
      <c r="AM359" s="150"/>
      <c r="AN359" s="150"/>
      <c r="AO359" s="150"/>
      <c r="AP359" s="150"/>
      <c r="AQ359" s="150"/>
      <c r="AR359" s="150"/>
      <c r="AS359" s="150"/>
      <c r="AT359" s="150"/>
      <c r="AU359" s="150"/>
      <c r="AV359" s="150"/>
      <c r="AW359" s="150"/>
      <c r="AX359" s="150"/>
      <c r="AY359" s="150"/>
      <c r="AZ359" s="150"/>
      <c r="BA359" s="150"/>
      <c r="BB359" s="150"/>
      <c r="BC359" s="170"/>
      <c r="BD359" s="170"/>
      <c r="BE359" s="170"/>
      <c r="BF359" s="170"/>
      <c r="BG359" s="170"/>
      <c r="BH359" s="170"/>
      <c r="BI359" s="170"/>
      <c r="BJ359" s="170"/>
      <c r="BK359" s="167">
        <f t="shared" si="259"/>
        <v>0</v>
      </c>
      <c r="BL359" s="167">
        <f t="shared" si="260"/>
        <v>0</v>
      </c>
      <c r="BM359" s="167">
        <f t="shared" si="261"/>
        <v>0</v>
      </c>
      <c r="BN359" s="167">
        <f t="shared" si="262"/>
        <v>0</v>
      </c>
    </row>
    <row r="360" spans="1:66" s="171" customFormat="1" ht="15.75" hidden="1" customHeight="1" outlineLevel="3" x14ac:dyDescent="0.3">
      <c r="A360" s="169"/>
      <c r="B360" s="164" t="s">
        <v>2735</v>
      </c>
      <c r="C360" s="164" t="s">
        <v>64</v>
      </c>
      <c r="D360" s="164" t="s">
        <v>2838</v>
      </c>
      <c r="E360" s="169" t="s">
        <v>2750</v>
      </c>
      <c r="F360" s="169" t="s">
        <v>64</v>
      </c>
      <c r="G360" s="169"/>
      <c r="H360" s="199" t="s">
        <v>2752</v>
      </c>
      <c r="I360" s="165"/>
      <c r="J360" s="165">
        <f t="shared" si="264"/>
        <v>0</v>
      </c>
      <c r="K360" s="150">
        <f>+I360-J360</f>
        <v>0</v>
      </c>
      <c r="L360" s="150">
        <f t="shared" si="268"/>
        <v>0</v>
      </c>
      <c r="M360" s="173"/>
      <c r="N360" s="150"/>
      <c r="O360" s="150"/>
      <c r="P360" s="150"/>
      <c r="Q360" s="150"/>
      <c r="R360" s="150"/>
      <c r="S360" s="150"/>
      <c r="T360" s="150"/>
      <c r="U360" s="150"/>
      <c r="V360" s="150"/>
      <c r="W360" s="150"/>
      <c r="X360" s="150"/>
      <c r="Y360" s="150"/>
      <c r="Z360" s="150"/>
      <c r="AA360" s="150"/>
      <c r="AB360" s="150"/>
      <c r="AC360" s="150"/>
      <c r="AD360" s="150"/>
      <c r="AE360" s="150"/>
      <c r="AF360" s="150"/>
      <c r="AG360" s="150"/>
      <c r="AH360" s="150"/>
      <c r="AI360" s="150"/>
      <c r="AJ360" s="150"/>
      <c r="AK360" s="150"/>
      <c r="AL360" s="150"/>
      <c r="AM360" s="150"/>
      <c r="AN360" s="150"/>
      <c r="AO360" s="150"/>
      <c r="AP360" s="150"/>
      <c r="AQ360" s="150"/>
      <c r="AR360" s="150"/>
      <c r="AS360" s="150"/>
      <c r="AT360" s="150"/>
      <c r="AU360" s="150"/>
      <c r="AV360" s="150"/>
      <c r="AW360" s="150"/>
      <c r="AX360" s="150"/>
      <c r="AY360" s="150"/>
      <c r="AZ360" s="150"/>
      <c r="BA360" s="150"/>
      <c r="BB360" s="150"/>
      <c r="BC360" s="170"/>
      <c r="BD360" s="170"/>
      <c r="BE360" s="170"/>
      <c r="BF360" s="170"/>
      <c r="BG360" s="170"/>
      <c r="BH360" s="170"/>
      <c r="BI360" s="170"/>
      <c r="BJ360" s="170"/>
      <c r="BK360" s="167">
        <f t="shared" si="259"/>
        <v>0</v>
      </c>
      <c r="BL360" s="167">
        <f t="shared" si="260"/>
        <v>0</v>
      </c>
      <c r="BM360" s="167">
        <f t="shared" si="261"/>
        <v>0</v>
      </c>
      <c r="BN360" s="167">
        <f t="shared" si="262"/>
        <v>0</v>
      </c>
    </row>
    <row r="361" spans="1:66" s="171" customFormat="1" ht="15.75" hidden="1" customHeight="1" outlineLevel="3" x14ac:dyDescent="0.3">
      <c r="A361" s="169"/>
      <c r="B361" s="164" t="s">
        <v>2728</v>
      </c>
      <c r="C361" s="164" t="s">
        <v>64</v>
      </c>
      <c r="D361" s="164" t="s">
        <v>2839</v>
      </c>
      <c r="E361" s="169" t="s">
        <v>2751</v>
      </c>
      <c r="F361" s="169" t="s">
        <v>64</v>
      </c>
      <c r="G361" s="169"/>
      <c r="H361" s="199" t="s">
        <v>2752</v>
      </c>
      <c r="I361" s="165">
        <f>+I355-I356-I360</f>
        <v>0</v>
      </c>
      <c r="J361" s="165">
        <f t="shared" si="264"/>
        <v>0</v>
      </c>
      <c r="K361" s="150">
        <f>+I361-J361</f>
        <v>0</v>
      </c>
      <c r="L361" s="150">
        <f t="shared" si="268"/>
        <v>0</v>
      </c>
      <c r="M361" s="542">
        <v>3</v>
      </c>
      <c r="N361" s="150">
        <f>VLOOKUP($M361,'1 b felosztások'!$A:$AE,COLUMN('1 b felosztások'!C:C),0)*$I361</f>
        <v>0</v>
      </c>
      <c r="O361" s="150">
        <f>VLOOKUP($M361,'1 b felosztások'!$A:$AE,COLUMN('1 b felosztások'!D:D),0)*$I361</f>
        <v>0</v>
      </c>
      <c r="P361" s="150">
        <f>VLOOKUP($M361,'1 b felosztások'!$A:$AE,COLUMN('1 b felosztások'!E:E),0)*$I361</f>
        <v>0</v>
      </c>
      <c r="Q361" s="150">
        <f>VLOOKUP($M361,'1 b felosztások'!$A:$AE,COLUMN('1 b felosztások'!F:F),0)*$I361</f>
        <v>0</v>
      </c>
      <c r="R361" s="150">
        <f>VLOOKUP($M361,'1 b felosztások'!$A:$AE,COLUMN('1 b felosztások'!G:G),0)*$I361</f>
        <v>0</v>
      </c>
      <c r="S361" s="150">
        <f>VLOOKUP($M361,'1 b felosztások'!$A:$AE,COLUMN('1 b felosztások'!H:H),0)*$I361</f>
        <v>0</v>
      </c>
      <c r="T361" s="150">
        <f>VLOOKUP($M361,'1 b felosztások'!$A:$AE,COLUMN('1 b felosztások'!I:I),0)*$I361</f>
        <v>0</v>
      </c>
      <c r="U361" s="150">
        <f>VLOOKUP($M361,'1 b felosztások'!$A:$AE,COLUMN('1 b felosztások'!J:J),0)*$I361</f>
        <v>0</v>
      </c>
      <c r="V361" s="150">
        <f>VLOOKUP($M361,'1 b felosztások'!$A:$AE,COLUMN('1 b felosztások'!K:K),0)*$I361</f>
        <v>0</v>
      </c>
      <c r="W361" s="150">
        <f>VLOOKUP($M361,'1 b felosztások'!$A:$AE,COLUMN('1 b felosztások'!L:L),0)*$I361</f>
        <v>0</v>
      </c>
      <c r="X361" s="150">
        <f>VLOOKUP($M361,'1 b felosztások'!$A:$AE,COLUMN('1 b felosztások'!M:M),0)*$I361</f>
        <v>0</v>
      </c>
      <c r="Y361" s="150">
        <f>VLOOKUP($M361,'1 b felosztások'!$A:$AE,COLUMN('1 b felosztások'!N:N),0)*$I361</f>
        <v>0</v>
      </c>
      <c r="Z361" s="150">
        <f>VLOOKUP($M361,'1 b felosztások'!$A:$AE,COLUMN('1 b felosztások'!O:O),0)*$I361</f>
        <v>0</v>
      </c>
      <c r="AA361" s="150">
        <f>VLOOKUP($M361,'1 b felosztások'!$A:$AE,COLUMN('1 b felosztások'!P:P),0)*$I361</f>
        <v>0</v>
      </c>
      <c r="AB361" s="150">
        <f>VLOOKUP($M361,'1 b felosztások'!$A:$AE,COLUMN('1 b felosztások'!Q:Q),0)*$I361</f>
        <v>0</v>
      </c>
      <c r="AC361" s="150"/>
      <c r="AD361" s="150"/>
      <c r="AE361" s="150"/>
      <c r="AF361" s="150"/>
      <c r="AG361" s="150"/>
      <c r="AH361" s="150"/>
      <c r="AI361" s="150"/>
      <c r="AJ361" s="150"/>
      <c r="AK361" s="150"/>
      <c r="AL361" s="150"/>
      <c r="AM361" s="150"/>
      <c r="AN361" s="150"/>
      <c r="AO361" s="150"/>
      <c r="AP361" s="150"/>
      <c r="AQ361" s="150"/>
      <c r="AR361" s="150"/>
      <c r="AS361" s="150"/>
      <c r="AT361" s="150"/>
      <c r="AU361" s="150"/>
      <c r="AV361" s="150"/>
      <c r="AW361" s="150"/>
      <c r="AX361" s="150"/>
      <c r="AY361" s="150"/>
      <c r="AZ361" s="150"/>
      <c r="BA361" s="150"/>
      <c r="BB361" s="150"/>
      <c r="BC361" s="170"/>
      <c r="BD361" s="170"/>
      <c r="BE361" s="170"/>
      <c r="BF361" s="170"/>
      <c r="BG361" s="170"/>
      <c r="BH361" s="170"/>
      <c r="BI361" s="170"/>
      <c r="BJ361" s="170"/>
      <c r="BK361" s="167">
        <f t="shared" si="259"/>
        <v>0</v>
      </c>
      <c r="BL361" s="167">
        <f t="shared" si="260"/>
        <v>0</v>
      </c>
      <c r="BM361" s="167">
        <f t="shared" si="261"/>
        <v>0</v>
      </c>
      <c r="BN361" s="167">
        <f t="shared" si="262"/>
        <v>0</v>
      </c>
    </row>
    <row r="362" spans="1:66" s="721" customFormat="1" ht="15.75" hidden="1" customHeight="1" outlineLevel="3" x14ac:dyDescent="0.3">
      <c r="A362" s="183" t="s">
        <v>49</v>
      </c>
      <c r="B362" s="183" t="s">
        <v>56</v>
      </c>
      <c r="C362" s="183" t="s">
        <v>64</v>
      </c>
      <c r="D362" s="183"/>
      <c r="E362" s="183">
        <f>VLOOKUP(A362,'Kiadások 2a SZH 2023'!A:B,2,0)</f>
        <v>0</v>
      </c>
      <c r="F362" s="183" t="s">
        <v>2695</v>
      </c>
      <c r="G362" s="186"/>
      <c r="H362" s="199"/>
      <c r="I362" s="718">
        <f>IFERROR(VLOOKUP($A362,'Kiadások 2a SZH 2023'!$A:$M,MATCH($I$1,'Kiadások 2a SZH 2023'!$A$1:$M$1,0),0), )</f>
        <v>0</v>
      </c>
      <c r="J362" s="165">
        <f t="shared" si="264"/>
        <v>0</v>
      </c>
      <c r="K362" s="242"/>
      <c r="L362" s="242"/>
      <c r="M362" s="719"/>
      <c r="N362" s="242"/>
      <c r="O362" s="242"/>
      <c r="P362" s="242"/>
      <c r="Q362" s="242"/>
      <c r="R362" s="242"/>
      <c r="S362" s="242"/>
      <c r="T362" s="242"/>
      <c r="U362" s="242"/>
      <c r="V362" s="242"/>
      <c r="W362" s="242"/>
      <c r="X362" s="242"/>
      <c r="Y362" s="242"/>
      <c r="Z362" s="242"/>
      <c r="AA362" s="242"/>
      <c r="AB362" s="242"/>
      <c r="AC362" s="242"/>
      <c r="AD362" s="242"/>
      <c r="AE362" s="242"/>
      <c r="AF362" s="242"/>
      <c r="AG362" s="242"/>
      <c r="AH362" s="242"/>
      <c r="AI362" s="242"/>
      <c r="AJ362" s="242"/>
      <c r="AK362" s="242"/>
      <c r="AL362" s="242"/>
      <c r="AM362" s="242"/>
      <c r="AN362" s="242"/>
      <c r="AO362" s="242"/>
      <c r="AP362" s="242"/>
      <c r="AQ362" s="242"/>
      <c r="AR362" s="242"/>
      <c r="AS362" s="242"/>
      <c r="AT362" s="242"/>
      <c r="AU362" s="242"/>
      <c r="AV362" s="242"/>
      <c r="AW362" s="242"/>
      <c r="AX362" s="242"/>
      <c r="AY362" s="242"/>
      <c r="AZ362" s="242"/>
      <c r="BA362" s="242"/>
      <c r="BB362" s="242"/>
      <c r="BC362" s="177"/>
      <c r="BD362" s="177"/>
      <c r="BE362" s="177"/>
      <c r="BF362" s="177"/>
      <c r="BG362" s="177"/>
      <c r="BH362" s="177"/>
      <c r="BI362" s="177"/>
      <c r="BJ362" s="177"/>
      <c r="BK362" s="720">
        <f t="shared" si="259"/>
        <v>0</v>
      </c>
      <c r="BL362" s="720">
        <f t="shared" si="260"/>
        <v>0</v>
      </c>
      <c r="BM362" s="720">
        <f t="shared" si="261"/>
        <v>0</v>
      </c>
      <c r="BN362" s="720">
        <f t="shared" si="262"/>
        <v>0</v>
      </c>
    </row>
    <row r="363" spans="1:66" s="168" customFormat="1" hidden="1" outlineLevel="2" collapsed="1" x14ac:dyDescent="0.3">
      <c r="A363" s="164" t="s">
        <v>50</v>
      </c>
      <c r="B363" s="164"/>
      <c r="C363" s="164"/>
      <c r="D363" s="164"/>
      <c r="E363" s="164" t="str">
        <f>VLOOKUP(A363,'Kiadások 2a SZH 2023'!A:B,2,0)</f>
        <v>Karnál kiválósági (2022. évi költhető maradvánnyal együtt)</v>
      </c>
      <c r="F363" s="164" t="s">
        <v>2695</v>
      </c>
      <c r="G363" s="169"/>
      <c r="H363" s="164" t="s">
        <v>2617</v>
      </c>
      <c r="I363" s="165">
        <f>IFERROR(VLOOKUP($A363,'Kiadások 2a SZH 2023'!$A:$M,MATCH($I$1,'Kiadások 2a SZH 2023'!$A$1:$M$1,0),0), )-8886891</f>
        <v>11999999.51005695</v>
      </c>
      <c r="J363" s="165">
        <f>SUM(N363:AF363)</f>
        <v>11999999.41</v>
      </c>
      <c r="K363" s="150">
        <f>+I363-J363</f>
        <v>0.10005695000290871</v>
      </c>
      <c r="L363" s="150">
        <f t="shared" ref="L363:L394" si="281">SUM(N363:BJ363)</f>
        <v>11999999.41</v>
      </c>
      <c r="M363" s="166"/>
      <c r="N363" s="165">
        <f>SUM(N369:N485)</f>
        <v>0</v>
      </c>
      <c r="O363" s="165"/>
      <c r="P363" s="165"/>
      <c r="Q363" s="165"/>
      <c r="R363" s="165"/>
      <c r="S363" s="165"/>
      <c r="T363" s="165"/>
      <c r="U363" s="165"/>
      <c r="V363" s="165"/>
      <c r="W363" s="165"/>
      <c r="X363" s="165"/>
      <c r="Y363" s="165"/>
      <c r="Z363" s="165"/>
      <c r="AA363" s="165"/>
      <c r="AB363" s="165"/>
      <c r="AC363" s="165"/>
      <c r="AD363" s="165"/>
      <c r="AE363" s="165"/>
      <c r="AF363" s="165">
        <f>AF364+AF367</f>
        <v>11999999.41</v>
      </c>
      <c r="AG363" s="165"/>
      <c r="AH363" s="165"/>
      <c r="AI363" s="165"/>
      <c r="AJ363" s="165"/>
      <c r="AK363" s="165"/>
      <c r="AL363" s="165"/>
      <c r="AM363" s="165"/>
      <c r="AN363" s="165"/>
      <c r="AO363" s="165"/>
      <c r="AP363" s="165"/>
      <c r="AQ363" s="165"/>
      <c r="AR363" s="165"/>
      <c r="AS363" s="165"/>
      <c r="AT363" s="165"/>
      <c r="AU363" s="165"/>
      <c r="AV363" s="165"/>
      <c r="AW363" s="165"/>
      <c r="AX363" s="165"/>
      <c r="AY363" s="165"/>
      <c r="AZ363" s="165"/>
      <c r="BA363" s="165"/>
      <c r="BB363" s="165"/>
      <c r="BC363" s="167"/>
      <c r="BD363" s="167"/>
      <c r="BE363" s="167"/>
      <c r="BF363" s="167"/>
      <c r="BG363" s="167"/>
      <c r="BH363" s="167"/>
      <c r="BI363" s="167"/>
      <c r="BJ363" s="167"/>
      <c r="BK363" s="167">
        <f t="shared" si="259"/>
        <v>0</v>
      </c>
      <c r="BL363" s="167">
        <f t="shared" si="260"/>
        <v>0</v>
      </c>
      <c r="BM363" s="167">
        <f t="shared" si="261"/>
        <v>11999999.41</v>
      </c>
      <c r="BN363" s="167">
        <f t="shared" si="262"/>
        <v>0</v>
      </c>
    </row>
    <row r="364" spans="1:66" s="171" customFormat="1" ht="15.75" hidden="1" customHeight="1" outlineLevel="3" x14ac:dyDescent="0.3">
      <c r="A364" s="164"/>
      <c r="B364" s="164"/>
      <c r="C364" s="164"/>
      <c r="D364" s="164"/>
      <c r="E364" s="164" t="s">
        <v>2721</v>
      </c>
      <c r="F364" s="164" t="s">
        <v>66</v>
      </c>
      <c r="G364" s="169"/>
      <c r="H364" s="164" t="s">
        <v>2590</v>
      </c>
      <c r="I364" s="165">
        <v>5907451</v>
      </c>
      <c r="J364" s="165">
        <f t="shared" ref="J364:J394" si="282">SUM(N364:AO364)</f>
        <v>5907451</v>
      </c>
      <c r="K364" s="150">
        <f>+I364-J364</f>
        <v>0</v>
      </c>
      <c r="L364" s="150">
        <f t="shared" si="281"/>
        <v>5907451</v>
      </c>
      <c r="M364" s="166"/>
      <c r="N364" s="150"/>
      <c r="O364" s="150"/>
      <c r="P364" s="150"/>
      <c r="Q364" s="150"/>
      <c r="R364" s="150"/>
      <c r="S364" s="150"/>
      <c r="T364" s="150"/>
      <c r="U364" s="150"/>
      <c r="V364" s="150"/>
      <c r="W364" s="150"/>
      <c r="X364" s="150"/>
      <c r="Y364" s="150"/>
      <c r="Z364" s="150"/>
      <c r="AA364" s="150"/>
      <c r="AB364" s="150"/>
      <c r="AC364" s="150"/>
      <c r="AD364" s="150"/>
      <c r="AE364" s="150"/>
      <c r="AF364" s="165">
        <f>5990044-82593</f>
        <v>5907451</v>
      </c>
      <c r="AG364" s="150"/>
      <c r="AH364" s="150"/>
      <c r="AI364" s="150"/>
      <c r="AJ364" s="150"/>
      <c r="AK364" s="150"/>
      <c r="AL364" s="150"/>
      <c r="AM364" s="150"/>
      <c r="AN364" s="150"/>
      <c r="AO364" s="150"/>
      <c r="AP364" s="150"/>
      <c r="AQ364" s="150"/>
      <c r="AR364" s="150"/>
      <c r="AS364" s="150"/>
      <c r="AT364" s="150"/>
      <c r="AU364" s="150"/>
      <c r="AV364" s="150"/>
      <c r="AW364" s="150"/>
      <c r="AX364" s="150"/>
      <c r="AY364" s="150"/>
      <c r="AZ364" s="150"/>
      <c r="BA364" s="150"/>
      <c r="BB364" s="150"/>
      <c r="BC364" s="170"/>
      <c r="BD364" s="170"/>
      <c r="BE364" s="170"/>
      <c r="BF364" s="170"/>
      <c r="BG364" s="170"/>
      <c r="BH364" s="170"/>
      <c r="BI364" s="170"/>
      <c r="BJ364" s="170"/>
      <c r="BK364" s="167">
        <f t="shared" si="259"/>
        <v>0</v>
      </c>
      <c r="BL364" s="167">
        <f t="shared" si="260"/>
        <v>0</v>
      </c>
      <c r="BM364" s="167">
        <f t="shared" si="261"/>
        <v>5907451</v>
      </c>
      <c r="BN364" s="167">
        <f t="shared" si="262"/>
        <v>0</v>
      </c>
    </row>
    <row r="365" spans="1:66" s="171" customFormat="1" ht="15.75" hidden="1" customHeight="1" outlineLevel="3" x14ac:dyDescent="0.3">
      <c r="A365" s="164"/>
      <c r="B365" s="164" t="s">
        <v>2592</v>
      </c>
      <c r="C365" s="164" t="s">
        <v>64</v>
      </c>
      <c r="D365" s="164" t="s">
        <v>2845</v>
      </c>
      <c r="E365" s="164" t="s">
        <v>2722</v>
      </c>
      <c r="F365" s="164"/>
      <c r="G365" s="169"/>
      <c r="H365" s="164"/>
      <c r="I365" s="178">
        <f>J365</f>
        <v>0</v>
      </c>
      <c r="J365" s="165">
        <f t="shared" si="282"/>
        <v>0</v>
      </c>
      <c r="K365" s="150">
        <f>+I365-J365</f>
        <v>0</v>
      </c>
      <c r="L365" s="150">
        <f t="shared" si="281"/>
        <v>0</v>
      </c>
      <c r="M365" s="166"/>
      <c r="N365" s="150"/>
      <c r="O365" s="150"/>
      <c r="P365" s="150"/>
      <c r="Q365" s="150"/>
      <c r="R365" s="150"/>
      <c r="S365" s="150"/>
      <c r="T365" s="150"/>
      <c r="U365" s="150"/>
      <c r="V365" s="150"/>
      <c r="W365" s="150"/>
      <c r="X365" s="150"/>
      <c r="Y365" s="150"/>
      <c r="Z365" s="150"/>
      <c r="AA365" s="150"/>
      <c r="AB365" s="150"/>
      <c r="AC365" s="150"/>
      <c r="AD365" s="150"/>
      <c r="AE365" s="150"/>
      <c r="AF365" s="150"/>
      <c r="AG365" s="150"/>
      <c r="AH365" s="150"/>
      <c r="AI365" s="150"/>
      <c r="AJ365" s="150"/>
      <c r="AK365" s="150"/>
      <c r="AL365" s="150"/>
      <c r="AM365" s="150"/>
      <c r="AN365" s="150"/>
      <c r="AO365" s="150"/>
      <c r="AP365" s="150"/>
      <c r="AQ365" s="150"/>
      <c r="AR365" s="150"/>
      <c r="AS365" s="150"/>
      <c r="AT365" s="150"/>
      <c r="AU365" s="150"/>
      <c r="AV365" s="150"/>
      <c r="AW365" s="150"/>
      <c r="AX365" s="150"/>
      <c r="AY365" s="150"/>
      <c r="AZ365" s="150"/>
      <c r="BA365" s="150"/>
      <c r="BB365" s="150"/>
      <c r="BC365" s="170"/>
      <c r="BD365" s="170"/>
      <c r="BE365" s="170"/>
      <c r="BF365" s="170"/>
      <c r="BG365" s="170"/>
      <c r="BH365" s="170"/>
      <c r="BI365" s="170"/>
      <c r="BJ365" s="170"/>
      <c r="BK365" s="167">
        <f t="shared" si="259"/>
        <v>0</v>
      </c>
      <c r="BL365" s="167">
        <f t="shared" si="260"/>
        <v>0</v>
      </c>
      <c r="BM365" s="167">
        <f t="shared" si="261"/>
        <v>0</v>
      </c>
      <c r="BN365" s="167">
        <f t="shared" si="262"/>
        <v>0</v>
      </c>
    </row>
    <row r="366" spans="1:66" s="171" customFormat="1" ht="15.75" hidden="1" customHeight="1" outlineLevel="3" x14ac:dyDescent="0.3">
      <c r="A366" s="164"/>
      <c r="B366" s="164" t="s">
        <v>2706</v>
      </c>
      <c r="C366" s="164" t="s">
        <v>64</v>
      </c>
      <c r="D366" s="164" t="s">
        <v>2846</v>
      </c>
      <c r="E366" s="164" t="s">
        <v>2723</v>
      </c>
      <c r="F366" s="164"/>
      <c r="G366" s="169"/>
      <c r="H366" s="164"/>
      <c r="I366" s="178"/>
      <c r="J366" s="165">
        <f t="shared" si="282"/>
        <v>0</v>
      </c>
      <c r="K366" s="150">
        <f>+I366-J366</f>
        <v>0</v>
      </c>
      <c r="L366" s="150">
        <f t="shared" si="281"/>
        <v>0</v>
      </c>
      <c r="M366" s="166"/>
      <c r="N366" s="150"/>
      <c r="O366" s="150"/>
      <c r="P366" s="150"/>
      <c r="Q366" s="150"/>
      <c r="R366" s="150"/>
      <c r="S366" s="150"/>
      <c r="T366" s="150"/>
      <c r="U366" s="150"/>
      <c r="V366" s="150"/>
      <c r="W366" s="150"/>
      <c r="X366" s="150"/>
      <c r="Y366" s="150"/>
      <c r="Z366" s="150"/>
      <c r="AA366" s="150"/>
      <c r="AB366" s="150"/>
      <c r="AC366" s="150"/>
      <c r="AD366" s="150"/>
      <c r="AE366" s="150"/>
      <c r="AF366" s="150">
        <v>0</v>
      </c>
      <c r="AG366" s="150"/>
      <c r="AH366" s="150"/>
      <c r="AI366" s="150"/>
      <c r="AJ366" s="150"/>
      <c r="AK366" s="150"/>
      <c r="AL366" s="150"/>
      <c r="AM366" s="150"/>
      <c r="AN366" s="150"/>
      <c r="AO366" s="150"/>
      <c r="AP366" s="150"/>
      <c r="AQ366" s="150"/>
      <c r="AR366" s="150"/>
      <c r="AS366" s="150"/>
      <c r="AT366" s="150"/>
      <c r="AU366" s="150"/>
      <c r="AV366" s="150"/>
      <c r="AW366" s="150"/>
      <c r="AX366" s="150"/>
      <c r="AY366" s="150"/>
      <c r="AZ366" s="150"/>
      <c r="BA366" s="150"/>
      <c r="BB366" s="150"/>
      <c r="BC366" s="170"/>
      <c r="BD366" s="170"/>
      <c r="BE366" s="170"/>
      <c r="BF366" s="170"/>
      <c r="BG366" s="170"/>
      <c r="BH366" s="170"/>
      <c r="BI366" s="170"/>
      <c r="BJ366" s="170"/>
      <c r="BK366" s="167">
        <f t="shared" si="259"/>
        <v>0</v>
      </c>
      <c r="BL366" s="167">
        <f t="shared" si="260"/>
        <v>0</v>
      </c>
      <c r="BM366" s="167">
        <f t="shared" si="261"/>
        <v>0</v>
      </c>
      <c r="BN366" s="167">
        <f t="shared" si="262"/>
        <v>0</v>
      </c>
    </row>
    <row r="367" spans="1:66" s="171" customFormat="1" ht="15.75" hidden="1" customHeight="1" outlineLevel="3" x14ac:dyDescent="0.3">
      <c r="A367" s="164"/>
      <c r="B367" s="164"/>
      <c r="C367" s="164"/>
      <c r="D367" s="164"/>
      <c r="E367" s="164" t="s">
        <v>2707</v>
      </c>
      <c r="F367" s="164" t="s">
        <v>64</v>
      </c>
      <c r="G367" s="169"/>
      <c r="H367" s="169" t="s">
        <v>2617</v>
      </c>
      <c r="I367" s="165">
        <f>+SUM(I368:I485)</f>
        <v>6092548.4099999992</v>
      </c>
      <c r="J367" s="165">
        <f t="shared" si="282"/>
        <v>6092548.4099999992</v>
      </c>
      <c r="K367" s="150">
        <f t="shared" si="257"/>
        <v>0</v>
      </c>
      <c r="L367" s="150">
        <f t="shared" si="281"/>
        <v>6092548.4099999992</v>
      </c>
      <c r="M367" s="166"/>
      <c r="N367" s="150"/>
      <c r="O367" s="150"/>
      <c r="P367" s="150"/>
      <c r="Q367" s="150"/>
      <c r="R367" s="150"/>
      <c r="S367" s="150"/>
      <c r="T367" s="150"/>
      <c r="U367" s="150"/>
      <c r="V367" s="150"/>
      <c r="W367" s="150"/>
      <c r="X367" s="150"/>
      <c r="Y367" s="150"/>
      <c r="Z367" s="150"/>
      <c r="AA367" s="150"/>
      <c r="AB367" s="150"/>
      <c r="AC367" s="165"/>
      <c r="AD367" s="165"/>
      <c r="AE367" s="165"/>
      <c r="AF367" s="150">
        <f>SUM(AF368:AF486)</f>
        <v>6092548.4099999992</v>
      </c>
      <c r="AG367" s="165"/>
      <c r="AH367" s="165"/>
      <c r="AI367" s="150"/>
      <c r="AJ367" s="150"/>
      <c r="AK367" s="150"/>
      <c r="AL367" s="150"/>
      <c r="AM367" s="150"/>
      <c r="AN367" s="150"/>
      <c r="AO367" s="150"/>
      <c r="AP367" s="150"/>
      <c r="AQ367" s="150"/>
      <c r="AR367" s="150"/>
      <c r="AS367" s="150"/>
      <c r="AT367" s="150"/>
      <c r="AU367" s="150"/>
      <c r="AV367" s="150"/>
      <c r="AW367" s="150"/>
      <c r="AX367" s="150"/>
      <c r="AY367" s="150"/>
      <c r="AZ367" s="150"/>
      <c r="BA367" s="150"/>
      <c r="BB367" s="150"/>
      <c r="BC367" s="170"/>
      <c r="BD367" s="170"/>
      <c r="BE367" s="170"/>
      <c r="BF367" s="170"/>
      <c r="BG367" s="170"/>
      <c r="BH367" s="170"/>
      <c r="BI367" s="170"/>
      <c r="BJ367" s="170"/>
      <c r="BK367" s="167">
        <f t="shared" si="259"/>
        <v>0</v>
      </c>
      <c r="BL367" s="167">
        <f t="shared" si="260"/>
        <v>0</v>
      </c>
      <c r="BM367" s="167">
        <f t="shared" si="261"/>
        <v>6092548.4099999992</v>
      </c>
      <c r="BN367" s="167">
        <f t="shared" si="262"/>
        <v>0</v>
      </c>
    </row>
    <row r="368" spans="1:66" s="171" customFormat="1" ht="15.75" hidden="1" customHeight="1" outlineLevel="3" x14ac:dyDescent="0.3">
      <c r="A368" s="164"/>
      <c r="B368" s="164" t="s">
        <v>2592</v>
      </c>
      <c r="C368" s="164" t="s">
        <v>64</v>
      </c>
      <c r="D368" s="164" t="s">
        <v>2845</v>
      </c>
      <c r="E368" s="164" t="s">
        <v>2725</v>
      </c>
      <c r="F368" s="164"/>
      <c r="G368" s="169"/>
      <c r="H368" s="164" t="s">
        <v>2620</v>
      </c>
      <c r="I368" s="178"/>
      <c r="J368" s="165">
        <f t="shared" si="282"/>
        <v>0</v>
      </c>
      <c r="K368" s="150">
        <f>+I368-J368</f>
        <v>0</v>
      </c>
      <c r="L368" s="150">
        <f t="shared" si="281"/>
        <v>0</v>
      </c>
      <c r="M368" s="166"/>
      <c r="N368" s="150"/>
      <c r="O368" s="150"/>
      <c r="P368" s="150"/>
      <c r="Q368" s="150"/>
      <c r="R368" s="150"/>
      <c r="S368" s="150"/>
      <c r="T368" s="150"/>
      <c r="U368" s="150"/>
      <c r="V368" s="150"/>
      <c r="W368" s="150"/>
      <c r="X368" s="150"/>
      <c r="Y368" s="150"/>
      <c r="Z368" s="165"/>
      <c r="AA368" s="165"/>
      <c r="AB368" s="165"/>
      <c r="AC368" s="165"/>
      <c r="AD368" s="165"/>
      <c r="AE368" s="165"/>
      <c r="AF368" s="165"/>
      <c r="AG368" s="165"/>
      <c r="AH368" s="165"/>
      <c r="AI368" s="165"/>
      <c r="AJ368" s="165"/>
      <c r="AK368" s="165"/>
      <c r="AL368" s="165"/>
      <c r="AM368" s="165"/>
      <c r="AN368" s="165"/>
      <c r="AO368" s="165"/>
      <c r="AP368" s="150"/>
      <c r="AQ368" s="150"/>
      <c r="AR368" s="150"/>
      <c r="AS368" s="150"/>
      <c r="AT368" s="150"/>
      <c r="AU368" s="150"/>
      <c r="AV368" s="150"/>
      <c r="AW368" s="150"/>
      <c r="AX368" s="150"/>
      <c r="AY368" s="150"/>
      <c r="AZ368" s="150"/>
      <c r="BA368" s="150"/>
      <c r="BB368" s="150"/>
      <c r="BC368" s="170"/>
      <c r="BD368" s="170"/>
      <c r="BE368" s="170"/>
      <c r="BF368" s="170"/>
      <c r="BG368" s="170"/>
      <c r="BH368" s="170"/>
      <c r="BI368" s="170"/>
      <c r="BJ368" s="170"/>
      <c r="BK368" s="167">
        <f t="shared" si="259"/>
        <v>0</v>
      </c>
      <c r="BL368" s="167">
        <f t="shared" si="260"/>
        <v>0</v>
      </c>
      <c r="BM368" s="167">
        <f t="shared" si="261"/>
        <v>0</v>
      </c>
      <c r="BN368" s="167">
        <f t="shared" si="262"/>
        <v>0</v>
      </c>
    </row>
    <row r="369" spans="1:66" s="171" customFormat="1" ht="15.75" hidden="1" customHeight="1" outlineLevel="3" x14ac:dyDescent="0.3">
      <c r="A369" s="169"/>
      <c r="B369" s="164" t="s">
        <v>2592</v>
      </c>
      <c r="C369" s="164" t="s">
        <v>64</v>
      </c>
      <c r="D369" s="164" t="s">
        <v>2845</v>
      </c>
      <c r="E369" s="169" t="s">
        <v>2592</v>
      </c>
      <c r="F369" s="169" t="s">
        <v>3208</v>
      </c>
      <c r="G369" s="169">
        <v>14</v>
      </c>
      <c r="H369" s="169" t="s">
        <v>151</v>
      </c>
      <c r="I369" s="165">
        <f>+J369</f>
        <v>0</v>
      </c>
      <c r="J369" s="165">
        <f t="shared" si="282"/>
        <v>0</v>
      </c>
      <c r="K369" s="150">
        <f t="shared" si="257"/>
        <v>0</v>
      </c>
      <c r="L369" s="150">
        <f t="shared" si="281"/>
        <v>0</v>
      </c>
      <c r="M369" s="166"/>
      <c r="N369" s="150"/>
      <c r="O369" s="150"/>
      <c r="P369" s="150"/>
      <c r="Q369" s="150"/>
      <c r="R369" s="150"/>
      <c r="S369" s="150"/>
      <c r="T369" s="150"/>
      <c r="U369" s="150"/>
      <c r="V369" s="150"/>
      <c r="W369" s="150"/>
      <c r="X369" s="150"/>
      <c r="Y369" s="150"/>
      <c r="Z369" s="150"/>
      <c r="AA369" s="150"/>
      <c r="AB369" s="150"/>
      <c r="AC369" s="165"/>
      <c r="AD369" s="165"/>
      <c r="AE369" s="165"/>
      <c r="AF369" s="150"/>
      <c r="AG369" s="165"/>
      <c r="AH369" s="165"/>
      <c r="AI369" s="150"/>
      <c r="AJ369" s="150"/>
      <c r="AK369" s="150"/>
      <c r="AL369" s="150"/>
      <c r="AM369" s="150"/>
      <c r="AN369" s="150"/>
      <c r="AO369" s="150"/>
      <c r="AP369" s="150"/>
      <c r="AQ369" s="150"/>
      <c r="AR369" s="150"/>
      <c r="AS369" s="150"/>
      <c r="AT369" s="150"/>
      <c r="AU369" s="150"/>
      <c r="AV369" s="150"/>
      <c r="AW369" s="150"/>
      <c r="AX369" s="150"/>
      <c r="AY369" s="150"/>
      <c r="AZ369" s="150"/>
      <c r="BA369" s="150"/>
      <c r="BB369" s="150"/>
      <c r="BC369" s="170"/>
      <c r="BD369" s="170"/>
      <c r="BE369" s="170"/>
      <c r="BF369" s="170"/>
      <c r="BG369" s="170"/>
      <c r="BH369" s="170"/>
      <c r="BI369" s="170"/>
      <c r="BJ369" s="170"/>
      <c r="BK369" s="167">
        <f t="shared" si="259"/>
        <v>0</v>
      </c>
      <c r="BL369" s="167">
        <f t="shared" si="260"/>
        <v>0</v>
      </c>
      <c r="BM369" s="167">
        <f t="shared" si="261"/>
        <v>0</v>
      </c>
      <c r="BN369" s="167">
        <f t="shared" si="262"/>
        <v>0</v>
      </c>
    </row>
    <row r="370" spans="1:66" s="171" customFormat="1" ht="15.75" hidden="1" customHeight="1" outlineLevel="3" x14ac:dyDescent="0.3">
      <c r="A370" s="169"/>
      <c r="B370" s="164" t="s">
        <v>2592</v>
      </c>
      <c r="C370" s="164" t="s">
        <v>64</v>
      </c>
      <c r="D370" s="164" t="s">
        <v>2845</v>
      </c>
      <c r="E370" s="169" t="s">
        <v>2592</v>
      </c>
      <c r="F370" s="169" t="s">
        <v>3208</v>
      </c>
      <c r="G370" s="169">
        <v>15</v>
      </c>
      <c r="H370" s="169" t="s">
        <v>153</v>
      </c>
      <c r="I370" s="165">
        <f t="shared" ref="I370:I417" si="283">+J370</f>
        <v>0</v>
      </c>
      <c r="J370" s="165">
        <f t="shared" si="282"/>
        <v>0</v>
      </c>
      <c r="K370" s="150">
        <f t="shared" si="257"/>
        <v>0</v>
      </c>
      <c r="L370" s="150">
        <f t="shared" si="281"/>
        <v>0</v>
      </c>
      <c r="M370" s="166"/>
      <c r="N370" s="150"/>
      <c r="O370" s="150"/>
      <c r="P370" s="150"/>
      <c r="Q370" s="150"/>
      <c r="R370" s="150"/>
      <c r="S370" s="150"/>
      <c r="T370" s="150"/>
      <c r="U370" s="150"/>
      <c r="V370" s="150"/>
      <c r="W370" s="150"/>
      <c r="X370" s="150"/>
      <c r="Y370" s="150"/>
      <c r="Z370" s="150"/>
      <c r="AA370" s="150"/>
      <c r="AB370" s="150"/>
      <c r="AC370" s="165"/>
      <c r="AD370" s="165"/>
      <c r="AE370" s="165"/>
      <c r="AF370" s="165"/>
      <c r="AG370" s="165"/>
      <c r="AH370" s="165"/>
      <c r="AI370" s="150"/>
      <c r="AJ370" s="150"/>
      <c r="AK370" s="150"/>
      <c r="AL370" s="150"/>
      <c r="AM370" s="150"/>
      <c r="AN370" s="150"/>
      <c r="AO370" s="150"/>
      <c r="AP370" s="150"/>
      <c r="AQ370" s="150"/>
      <c r="AR370" s="150"/>
      <c r="AS370" s="150"/>
      <c r="AT370" s="150"/>
      <c r="AU370" s="150"/>
      <c r="AV370" s="150"/>
      <c r="AW370" s="150"/>
      <c r="AX370" s="150"/>
      <c r="AY370" s="150"/>
      <c r="AZ370" s="150"/>
      <c r="BA370" s="150"/>
      <c r="BB370" s="150"/>
      <c r="BC370" s="170"/>
      <c r="BD370" s="170"/>
      <c r="BE370" s="170"/>
      <c r="BF370" s="170"/>
      <c r="BG370" s="170"/>
      <c r="BH370" s="170"/>
      <c r="BI370" s="170"/>
      <c r="BJ370" s="170"/>
      <c r="BK370" s="167">
        <f t="shared" si="259"/>
        <v>0</v>
      </c>
      <c r="BL370" s="167">
        <f t="shared" si="260"/>
        <v>0</v>
      </c>
      <c r="BM370" s="167">
        <f t="shared" si="261"/>
        <v>0</v>
      </c>
      <c r="BN370" s="167">
        <f t="shared" si="262"/>
        <v>0</v>
      </c>
    </row>
    <row r="371" spans="1:66" s="171" customFormat="1" ht="15.75" hidden="1" customHeight="1" outlineLevel="3" x14ac:dyDescent="0.3">
      <c r="A371" s="169"/>
      <c r="B371" s="164" t="s">
        <v>2592</v>
      </c>
      <c r="C371" s="164" t="s">
        <v>64</v>
      </c>
      <c r="D371" s="164" t="s">
        <v>2845</v>
      </c>
      <c r="E371" s="169" t="s">
        <v>2592</v>
      </c>
      <c r="F371" s="169" t="s">
        <v>3208</v>
      </c>
      <c r="G371" s="169">
        <v>16</v>
      </c>
      <c r="H371" s="169" t="s">
        <v>154</v>
      </c>
      <c r="I371" s="165">
        <f t="shared" si="283"/>
        <v>0</v>
      </c>
      <c r="J371" s="165">
        <f t="shared" si="282"/>
        <v>0</v>
      </c>
      <c r="K371" s="150">
        <f t="shared" si="257"/>
        <v>0</v>
      </c>
      <c r="L371" s="150">
        <f t="shared" si="281"/>
        <v>0</v>
      </c>
      <c r="M371" s="166"/>
      <c r="N371" s="150"/>
      <c r="O371" s="150"/>
      <c r="P371" s="150"/>
      <c r="Q371" s="150"/>
      <c r="R371" s="150"/>
      <c r="S371" s="150"/>
      <c r="T371" s="150"/>
      <c r="U371" s="150"/>
      <c r="V371" s="150"/>
      <c r="W371" s="150"/>
      <c r="X371" s="150"/>
      <c r="Y371" s="150"/>
      <c r="Z371" s="150"/>
      <c r="AA371" s="150"/>
      <c r="AB371" s="150"/>
      <c r="AC371" s="165"/>
      <c r="AD371" s="165"/>
      <c r="AE371" s="165"/>
      <c r="AF371" s="165"/>
      <c r="AG371" s="165"/>
      <c r="AH371" s="165"/>
      <c r="AI371" s="150"/>
      <c r="AJ371" s="150"/>
      <c r="AK371" s="150"/>
      <c r="AL371" s="150"/>
      <c r="AM371" s="150"/>
      <c r="AN371" s="150"/>
      <c r="AO371" s="150"/>
      <c r="AP371" s="150"/>
      <c r="AQ371" s="150"/>
      <c r="AR371" s="150"/>
      <c r="AS371" s="150"/>
      <c r="AT371" s="150"/>
      <c r="AU371" s="150"/>
      <c r="AV371" s="150"/>
      <c r="AW371" s="150"/>
      <c r="AX371" s="150"/>
      <c r="AY371" s="150"/>
      <c r="AZ371" s="150"/>
      <c r="BA371" s="150"/>
      <c r="BB371" s="150"/>
      <c r="BC371" s="170"/>
      <c r="BD371" s="170"/>
      <c r="BE371" s="170"/>
      <c r="BF371" s="170"/>
      <c r="BG371" s="170"/>
      <c r="BH371" s="170"/>
      <c r="BI371" s="170"/>
      <c r="BJ371" s="170"/>
      <c r="BK371" s="167">
        <f t="shared" si="259"/>
        <v>0</v>
      </c>
      <c r="BL371" s="167">
        <f t="shared" si="260"/>
        <v>0</v>
      </c>
      <c r="BM371" s="167">
        <f t="shared" si="261"/>
        <v>0</v>
      </c>
      <c r="BN371" s="167">
        <f t="shared" si="262"/>
        <v>0</v>
      </c>
    </row>
    <row r="372" spans="1:66" s="171" customFormat="1" ht="15.75" hidden="1" customHeight="1" outlineLevel="3" x14ac:dyDescent="0.3">
      <c r="A372" s="169"/>
      <c r="B372" s="164" t="s">
        <v>2592</v>
      </c>
      <c r="C372" s="164" t="s">
        <v>64</v>
      </c>
      <c r="D372" s="164" t="s">
        <v>2845</v>
      </c>
      <c r="E372" s="169" t="s">
        <v>2592</v>
      </c>
      <c r="F372" s="169" t="s">
        <v>3208</v>
      </c>
      <c r="G372" s="169">
        <v>17</v>
      </c>
      <c r="H372" s="169" t="s">
        <v>155</v>
      </c>
      <c r="I372" s="165">
        <f t="shared" si="283"/>
        <v>0</v>
      </c>
      <c r="J372" s="165">
        <f t="shared" si="282"/>
        <v>0</v>
      </c>
      <c r="K372" s="150">
        <f t="shared" si="257"/>
        <v>0</v>
      </c>
      <c r="L372" s="150">
        <f t="shared" si="281"/>
        <v>0</v>
      </c>
      <c r="M372" s="166"/>
      <c r="N372" s="150"/>
      <c r="O372" s="150"/>
      <c r="P372" s="150"/>
      <c r="Q372" s="150"/>
      <c r="R372" s="150"/>
      <c r="S372" s="150"/>
      <c r="T372" s="150"/>
      <c r="U372" s="150"/>
      <c r="V372" s="150"/>
      <c r="W372" s="150"/>
      <c r="X372" s="150"/>
      <c r="Y372" s="150"/>
      <c r="Z372" s="150"/>
      <c r="AA372" s="150"/>
      <c r="AB372" s="150"/>
      <c r="AC372" s="165"/>
      <c r="AD372" s="165"/>
      <c r="AE372" s="165"/>
      <c r="AF372" s="165"/>
      <c r="AG372" s="165"/>
      <c r="AH372" s="165"/>
      <c r="AI372" s="150"/>
      <c r="AJ372" s="150"/>
      <c r="AK372" s="150"/>
      <c r="AL372" s="150"/>
      <c r="AM372" s="150"/>
      <c r="AN372" s="150"/>
      <c r="AO372" s="150"/>
      <c r="AP372" s="150"/>
      <c r="AQ372" s="150"/>
      <c r="AR372" s="150"/>
      <c r="AS372" s="150"/>
      <c r="AT372" s="150"/>
      <c r="AU372" s="150"/>
      <c r="AV372" s="150"/>
      <c r="AW372" s="150"/>
      <c r="AX372" s="150"/>
      <c r="AY372" s="150"/>
      <c r="AZ372" s="150"/>
      <c r="BA372" s="150"/>
      <c r="BB372" s="150"/>
      <c r="BC372" s="170"/>
      <c r="BD372" s="170"/>
      <c r="BE372" s="170"/>
      <c r="BF372" s="170"/>
      <c r="BG372" s="170"/>
      <c r="BH372" s="170"/>
      <c r="BI372" s="170"/>
      <c r="BJ372" s="170"/>
      <c r="BK372" s="167">
        <f t="shared" si="259"/>
        <v>0</v>
      </c>
      <c r="BL372" s="167">
        <f t="shared" si="260"/>
        <v>0</v>
      </c>
      <c r="BM372" s="167">
        <f t="shared" si="261"/>
        <v>0</v>
      </c>
      <c r="BN372" s="167">
        <f t="shared" si="262"/>
        <v>0</v>
      </c>
    </row>
    <row r="373" spans="1:66" s="171" customFormat="1" ht="15.75" hidden="1" customHeight="1" outlineLevel="3" x14ac:dyDescent="0.3">
      <c r="A373" s="169"/>
      <c r="B373" s="164" t="s">
        <v>2592</v>
      </c>
      <c r="C373" s="164" t="s">
        <v>64</v>
      </c>
      <c r="D373" s="164" t="s">
        <v>2845</v>
      </c>
      <c r="E373" s="169" t="s">
        <v>2592</v>
      </c>
      <c r="F373" s="169" t="s">
        <v>3208</v>
      </c>
      <c r="G373" s="169">
        <v>18</v>
      </c>
      <c r="H373" s="169" t="s">
        <v>157</v>
      </c>
      <c r="I373" s="165">
        <f t="shared" si="283"/>
        <v>0</v>
      </c>
      <c r="J373" s="165">
        <f t="shared" si="282"/>
        <v>0</v>
      </c>
      <c r="K373" s="150">
        <f t="shared" si="257"/>
        <v>0</v>
      </c>
      <c r="L373" s="150">
        <f t="shared" si="281"/>
        <v>0</v>
      </c>
      <c r="M373" s="166"/>
      <c r="N373" s="150"/>
      <c r="O373" s="150"/>
      <c r="P373" s="150"/>
      <c r="Q373" s="150"/>
      <c r="R373" s="150"/>
      <c r="S373" s="150"/>
      <c r="T373" s="150"/>
      <c r="U373" s="150"/>
      <c r="V373" s="150"/>
      <c r="W373" s="150"/>
      <c r="X373" s="150"/>
      <c r="Y373" s="150"/>
      <c r="Z373" s="150"/>
      <c r="AA373" s="150"/>
      <c r="AB373" s="150"/>
      <c r="AC373" s="165"/>
      <c r="AD373" s="165"/>
      <c r="AE373" s="165"/>
      <c r="AF373" s="150"/>
      <c r="AG373" s="165"/>
      <c r="AH373" s="165"/>
      <c r="AI373" s="150"/>
      <c r="AJ373" s="150"/>
      <c r="AK373" s="150"/>
      <c r="AL373" s="150"/>
      <c r="AM373" s="150"/>
      <c r="AN373" s="150"/>
      <c r="AO373" s="150"/>
      <c r="AP373" s="150"/>
      <c r="AQ373" s="150"/>
      <c r="AR373" s="150"/>
      <c r="AS373" s="150"/>
      <c r="AT373" s="150"/>
      <c r="AU373" s="150"/>
      <c r="AV373" s="150"/>
      <c r="AW373" s="150"/>
      <c r="AX373" s="150"/>
      <c r="AY373" s="150"/>
      <c r="AZ373" s="150"/>
      <c r="BA373" s="150"/>
      <c r="BB373" s="150"/>
      <c r="BC373" s="170"/>
      <c r="BD373" s="170"/>
      <c r="BE373" s="170"/>
      <c r="BF373" s="170"/>
      <c r="BG373" s="170"/>
      <c r="BH373" s="170"/>
      <c r="BI373" s="170"/>
      <c r="BJ373" s="170"/>
      <c r="BK373" s="167">
        <f t="shared" si="259"/>
        <v>0</v>
      </c>
      <c r="BL373" s="167">
        <f t="shared" si="260"/>
        <v>0</v>
      </c>
      <c r="BM373" s="167">
        <f t="shared" si="261"/>
        <v>0</v>
      </c>
      <c r="BN373" s="167">
        <f t="shared" si="262"/>
        <v>0</v>
      </c>
    </row>
    <row r="374" spans="1:66" s="171" customFormat="1" ht="15.75" hidden="1" customHeight="1" outlineLevel="3" x14ac:dyDescent="0.3">
      <c r="A374" s="169"/>
      <c r="B374" s="164" t="s">
        <v>2592</v>
      </c>
      <c r="C374" s="164" t="s">
        <v>64</v>
      </c>
      <c r="D374" s="164" t="s">
        <v>2845</v>
      </c>
      <c r="E374" s="169" t="s">
        <v>2592</v>
      </c>
      <c r="F374" s="169" t="s">
        <v>3208</v>
      </c>
      <c r="G374" s="169">
        <v>19</v>
      </c>
      <c r="H374" s="169" t="s">
        <v>159</v>
      </c>
      <c r="I374" s="165">
        <f t="shared" si="283"/>
        <v>0</v>
      </c>
      <c r="J374" s="165">
        <f t="shared" si="282"/>
        <v>0</v>
      </c>
      <c r="K374" s="150">
        <f t="shared" si="257"/>
        <v>0</v>
      </c>
      <c r="L374" s="150">
        <f t="shared" si="281"/>
        <v>0</v>
      </c>
      <c r="M374" s="166"/>
      <c r="N374" s="150"/>
      <c r="O374" s="150"/>
      <c r="P374" s="150"/>
      <c r="Q374" s="150"/>
      <c r="R374" s="150"/>
      <c r="S374" s="150"/>
      <c r="T374" s="150"/>
      <c r="U374" s="150"/>
      <c r="V374" s="150"/>
      <c r="W374" s="150"/>
      <c r="X374" s="150"/>
      <c r="Y374" s="150"/>
      <c r="Z374" s="150"/>
      <c r="AA374" s="150"/>
      <c r="AB374" s="150"/>
      <c r="AC374" s="165"/>
      <c r="AD374" s="165"/>
      <c r="AE374" s="165"/>
      <c r="AF374" s="165"/>
      <c r="AG374" s="165"/>
      <c r="AH374" s="165"/>
      <c r="AI374" s="150"/>
      <c r="AJ374" s="150"/>
      <c r="AK374" s="150"/>
      <c r="AL374" s="150"/>
      <c r="AM374" s="150"/>
      <c r="AN374" s="150"/>
      <c r="AO374" s="150"/>
      <c r="AP374" s="150"/>
      <c r="AQ374" s="150"/>
      <c r="AR374" s="150"/>
      <c r="AS374" s="150"/>
      <c r="AT374" s="150"/>
      <c r="AU374" s="150"/>
      <c r="AV374" s="150"/>
      <c r="AW374" s="150"/>
      <c r="AX374" s="150"/>
      <c r="AY374" s="150"/>
      <c r="AZ374" s="150"/>
      <c r="BA374" s="150"/>
      <c r="BB374" s="150"/>
      <c r="BC374" s="170"/>
      <c r="BD374" s="170"/>
      <c r="BE374" s="170"/>
      <c r="BF374" s="170"/>
      <c r="BG374" s="170"/>
      <c r="BH374" s="170"/>
      <c r="BI374" s="170"/>
      <c r="BJ374" s="170"/>
      <c r="BK374" s="167">
        <f t="shared" si="259"/>
        <v>0</v>
      </c>
      <c r="BL374" s="167">
        <f t="shared" si="260"/>
        <v>0</v>
      </c>
      <c r="BM374" s="167">
        <f t="shared" si="261"/>
        <v>0</v>
      </c>
      <c r="BN374" s="167">
        <f t="shared" si="262"/>
        <v>0</v>
      </c>
    </row>
    <row r="375" spans="1:66" s="171" customFormat="1" ht="15.75" hidden="1" customHeight="1" outlineLevel="3" x14ac:dyDescent="0.3">
      <c r="A375" s="169"/>
      <c r="B375" s="164" t="s">
        <v>2592</v>
      </c>
      <c r="C375" s="164" t="s">
        <v>64</v>
      </c>
      <c r="D375" s="164" t="s">
        <v>2845</v>
      </c>
      <c r="E375" s="169" t="s">
        <v>2592</v>
      </c>
      <c r="F375" s="169" t="s">
        <v>3208</v>
      </c>
      <c r="G375" s="169">
        <v>20</v>
      </c>
      <c r="H375" s="169" t="s">
        <v>161</v>
      </c>
      <c r="I375" s="165">
        <f t="shared" si="283"/>
        <v>0</v>
      </c>
      <c r="J375" s="165">
        <f t="shared" si="282"/>
        <v>0</v>
      </c>
      <c r="K375" s="150">
        <f t="shared" si="257"/>
        <v>0</v>
      </c>
      <c r="L375" s="150">
        <f t="shared" si="281"/>
        <v>0</v>
      </c>
      <c r="M375" s="166"/>
      <c r="N375" s="150"/>
      <c r="O375" s="150"/>
      <c r="P375" s="150"/>
      <c r="Q375" s="150"/>
      <c r="R375" s="150"/>
      <c r="S375" s="150"/>
      <c r="T375" s="150"/>
      <c r="U375" s="150"/>
      <c r="V375" s="150"/>
      <c r="W375" s="150"/>
      <c r="X375" s="150"/>
      <c r="Y375" s="150"/>
      <c r="Z375" s="150"/>
      <c r="AA375" s="150"/>
      <c r="AB375" s="150"/>
      <c r="AC375" s="165"/>
      <c r="AD375" s="165"/>
      <c r="AE375" s="165"/>
      <c r="AF375" s="165"/>
      <c r="AG375" s="165"/>
      <c r="AH375" s="165"/>
      <c r="AI375" s="150"/>
      <c r="AJ375" s="150"/>
      <c r="AK375" s="150"/>
      <c r="AL375" s="150"/>
      <c r="AM375" s="150"/>
      <c r="AN375" s="150"/>
      <c r="AO375" s="150"/>
      <c r="AP375" s="150"/>
      <c r="AQ375" s="150"/>
      <c r="AR375" s="150"/>
      <c r="AS375" s="150"/>
      <c r="AT375" s="150"/>
      <c r="AU375" s="150"/>
      <c r="AV375" s="150"/>
      <c r="AW375" s="150"/>
      <c r="AX375" s="150"/>
      <c r="AY375" s="150"/>
      <c r="AZ375" s="150"/>
      <c r="BA375" s="150"/>
      <c r="BB375" s="150"/>
      <c r="BC375" s="170"/>
      <c r="BD375" s="170"/>
      <c r="BE375" s="170"/>
      <c r="BF375" s="170"/>
      <c r="BG375" s="170"/>
      <c r="BH375" s="170"/>
      <c r="BI375" s="170"/>
      <c r="BJ375" s="170"/>
      <c r="BK375" s="167">
        <f t="shared" si="259"/>
        <v>0</v>
      </c>
      <c r="BL375" s="167">
        <f t="shared" si="260"/>
        <v>0</v>
      </c>
      <c r="BM375" s="167">
        <f t="shared" si="261"/>
        <v>0</v>
      </c>
      <c r="BN375" s="167">
        <f t="shared" si="262"/>
        <v>0</v>
      </c>
    </row>
    <row r="376" spans="1:66" s="171" customFormat="1" ht="15.75" hidden="1" customHeight="1" outlineLevel="3" x14ac:dyDescent="0.3">
      <c r="A376" s="169"/>
      <c r="B376" s="164" t="s">
        <v>2592</v>
      </c>
      <c r="C376" s="164" t="s">
        <v>64</v>
      </c>
      <c r="D376" s="164" t="s">
        <v>2845</v>
      </c>
      <c r="E376" s="169" t="s">
        <v>2592</v>
      </c>
      <c r="F376" s="169" t="s">
        <v>3208</v>
      </c>
      <c r="G376" s="169">
        <v>21</v>
      </c>
      <c r="H376" s="169" t="s">
        <v>163</v>
      </c>
      <c r="I376" s="165">
        <f t="shared" si="283"/>
        <v>0</v>
      </c>
      <c r="J376" s="165">
        <f t="shared" si="282"/>
        <v>0</v>
      </c>
      <c r="K376" s="150">
        <f t="shared" si="257"/>
        <v>0</v>
      </c>
      <c r="L376" s="150">
        <f t="shared" si="281"/>
        <v>0</v>
      </c>
      <c r="M376" s="166"/>
      <c r="N376" s="150"/>
      <c r="O376" s="150"/>
      <c r="P376" s="150"/>
      <c r="Q376" s="150"/>
      <c r="R376" s="150"/>
      <c r="S376" s="150"/>
      <c r="T376" s="150"/>
      <c r="U376" s="150"/>
      <c r="V376" s="150"/>
      <c r="W376" s="150"/>
      <c r="X376" s="150"/>
      <c r="Y376" s="150"/>
      <c r="Z376" s="150"/>
      <c r="AA376" s="150"/>
      <c r="AB376" s="150"/>
      <c r="AC376" s="165"/>
      <c r="AD376" s="165"/>
      <c r="AE376" s="165"/>
      <c r="AF376" s="165"/>
      <c r="AG376" s="165"/>
      <c r="AH376" s="165"/>
      <c r="AI376" s="150"/>
      <c r="AJ376" s="150"/>
      <c r="AK376" s="150"/>
      <c r="AL376" s="150"/>
      <c r="AM376" s="150"/>
      <c r="AN376" s="150"/>
      <c r="AO376" s="150"/>
      <c r="AP376" s="150"/>
      <c r="AQ376" s="150"/>
      <c r="AR376" s="150"/>
      <c r="AS376" s="150"/>
      <c r="AT376" s="150"/>
      <c r="AU376" s="150"/>
      <c r="AV376" s="150"/>
      <c r="AW376" s="150"/>
      <c r="AX376" s="150"/>
      <c r="AY376" s="150"/>
      <c r="AZ376" s="150"/>
      <c r="BA376" s="150"/>
      <c r="BB376" s="150"/>
      <c r="BC376" s="170"/>
      <c r="BD376" s="170"/>
      <c r="BE376" s="170"/>
      <c r="BF376" s="170"/>
      <c r="BG376" s="170"/>
      <c r="BH376" s="170"/>
      <c r="BI376" s="170"/>
      <c r="BJ376" s="170"/>
      <c r="BK376" s="167">
        <f t="shared" si="259"/>
        <v>0</v>
      </c>
      <c r="BL376" s="167">
        <f t="shared" si="260"/>
        <v>0</v>
      </c>
      <c r="BM376" s="167">
        <f t="shared" si="261"/>
        <v>0</v>
      </c>
      <c r="BN376" s="167">
        <f t="shared" si="262"/>
        <v>0</v>
      </c>
    </row>
    <row r="377" spans="1:66" s="171" customFormat="1" ht="15.75" hidden="1" customHeight="1" outlineLevel="3" x14ac:dyDescent="0.3">
      <c r="A377" s="169"/>
      <c r="B377" s="164" t="s">
        <v>2592</v>
      </c>
      <c r="C377" s="164" t="s">
        <v>64</v>
      </c>
      <c r="D377" s="164" t="s">
        <v>2845</v>
      </c>
      <c r="E377" s="169" t="s">
        <v>2592</v>
      </c>
      <c r="F377" s="169" t="s">
        <v>3208</v>
      </c>
      <c r="G377" s="169">
        <v>22</v>
      </c>
      <c r="H377" s="169" t="s">
        <v>165</v>
      </c>
      <c r="I377" s="165">
        <f t="shared" si="283"/>
        <v>0</v>
      </c>
      <c r="J377" s="165">
        <f t="shared" si="282"/>
        <v>0</v>
      </c>
      <c r="K377" s="150">
        <f t="shared" ref="K377:K486" si="284">+I377-J377</f>
        <v>0</v>
      </c>
      <c r="L377" s="150">
        <f t="shared" si="281"/>
        <v>0</v>
      </c>
      <c r="M377" s="166"/>
      <c r="N377" s="150"/>
      <c r="O377" s="150"/>
      <c r="P377" s="150"/>
      <c r="Q377" s="150"/>
      <c r="R377" s="150"/>
      <c r="S377" s="150"/>
      <c r="T377" s="150"/>
      <c r="U377" s="150"/>
      <c r="V377" s="150"/>
      <c r="W377" s="150"/>
      <c r="X377" s="150"/>
      <c r="Y377" s="150"/>
      <c r="Z377" s="150"/>
      <c r="AA377" s="150"/>
      <c r="AB377" s="150"/>
      <c r="AC377" s="165"/>
      <c r="AD377" s="165"/>
      <c r="AE377" s="165"/>
      <c r="AF377" s="150"/>
      <c r="AG377" s="165"/>
      <c r="AH377" s="165"/>
      <c r="AI377" s="150"/>
      <c r="AJ377" s="150"/>
      <c r="AK377" s="150"/>
      <c r="AL377" s="150"/>
      <c r="AM377" s="150"/>
      <c r="AN377" s="150"/>
      <c r="AO377" s="150"/>
      <c r="AP377" s="150"/>
      <c r="AQ377" s="150"/>
      <c r="AR377" s="150"/>
      <c r="AS377" s="150"/>
      <c r="AT377" s="150"/>
      <c r="AU377" s="150"/>
      <c r="AV377" s="150"/>
      <c r="AW377" s="150"/>
      <c r="AX377" s="150"/>
      <c r="AY377" s="150"/>
      <c r="AZ377" s="150"/>
      <c r="BA377" s="150"/>
      <c r="BB377" s="150"/>
      <c r="BC377" s="170"/>
      <c r="BD377" s="170"/>
      <c r="BE377" s="170"/>
      <c r="BF377" s="170"/>
      <c r="BG377" s="170"/>
      <c r="BH377" s="170"/>
      <c r="BI377" s="170"/>
      <c r="BJ377" s="170"/>
      <c r="BK377" s="167">
        <f t="shared" si="259"/>
        <v>0</v>
      </c>
      <c r="BL377" s="167">
        <f t="shared" si="260"/>
        <v>0</v>
      </c>
      <c r="BM377" s="167">
        <f t="shared" si="261"/>
        <v>0</v>
      </c>
      <c r="BN377" s="167">
        <f t="shared" si="262"/>
        <v>0</v>
      </c>
    </row>
    <row r="378" spans="1:66" s="171" customFormat="1" ht="15.75" hidden="1" customHeight="1" outlineLevel="3" x14ac:dyDescent="0.3">
      <c r="A378" s="169"/>
      <c r="B378" s="164" t="s">
        <v>2592</v>
      </c>
      <c r="C378" s="164" t="s">
        <v>64</v>
      </c>
      <c r="D378" s="164" t="s">
        <v>2845</v>
      </c>
      <c r="E378" s="169" t="s">
        <v>2592</v>
      </c>
      <c r="F378" s="169" t="s">
        <v>3208</v>
      </c>
      <c r="G378" s="169">
        <v>23</v>
      </c>
      <c r="H378" s="169" t="s">
        <v>167</v>
      </c>
      <c r="I378" s="165">
        <f t="shared" si="283"/>
        <v>0</v>
      </c>
      <c r="J378" s="165">
        <f t="shared" si="282"/>
        <v>0</v>
      </c>
      <c r="K378" s="150">
        <f t="shared" si="284"/>
        <v>0</v>
      </c>
      <c r="L378" s="150">
        <f t="shared" si="281"/>
        <v>0</v>
      </c>
      <c r="M378" s="166"/>
      <c r="N378" s="150"/>
      <c r="O378" s="150"/>
      <c r="P378" s="150"/>
      <c r="Q378" s="150"/>
      <c r="R378" s="150"/>
      <c r="S378" s="150"/>
      <c r="T378" s="150"/>
      <c r="U378" s="150"/>
      <c r="V378" s="150"/>
      <c r="W378" s="150"/>
      <c r="X378" s="150"/>
      <c r="Y378" s="150"/>
      <c r="Z378" s="150"/>
      <c r="AA378" s="150"/>
      <c r="AB378" s="150"/>
      <c r="AC378" s="165"/>
      <c r="AD378" s="165"/>
      <c r="AE378" s="165"/>
      <c r="AF378" s="165"/>
      <c r="AG378" s="165"/>
      <c r="AH378" s="165"/>
      <c r="AI378" s="150"/>
      <c r="AJ378" s="150"/>
      <c r="AK378" s="150"/>
      <c r="AL378" s="150"/>
      <c r="AM378" s="150"/>
      <c r="AN378" s="150"/>
      <c r="AO378" s="150"/>
      <c r="AP378" s="150"/>
      <c r="AQ378" s="150"/>
      <c r="AR378" s="150"/>
      <c r="AS378" s="150"/>
      <c r="AT378" s="150"/>
      <c r="AU378" s="150"/>
      <c r="AV378" s="150"/>
      <c r="AW378" s="150"/>
      <c r="AX378" s="150"/>
      <c r="AY378" s="150"/>
      <c r="AZ378" s="150"/>
      <c r="BA378" s="150"/>
      <c r="BB378" s="150"/>
      <c r="BC378" s="170"/>
      <c r="BD378" s="170"/>
      <c r="BE378" s="170"/>
      <c r="BF378" s="170"/>
      <c r="BG378" s="170"/>
      <c r="BH378" s="170"/>
      <c r="BI378" s="170"/>
      <c r="BJ378" s="170"/>
      <c r="BK378" s="167">
        <f t="shared" si="259"/>
        <v>0</v>
      </c>
      <c r="BL378" s="167">
        <f t="shared" si="260"/>
        <v>0</v>
      </c>
      <c r="BM378" s="167">
        <f t="shared" si="261"/>
        <v>0</v>
      </c>
      <c r="BN378" s="167">
        <f t="shared" si="262"/>
        <v>0</v>
      </c>
    </row>
    <row r="379" spans="1:66" s="171" customFormat="1" ht="15.75" hidden="1" customHeight="1" outlineLevel="3" x14ac:dyDescent="0.3">
      <c r="A379" s="169"/>
      <c r="B379" s="164" t="s">
        <v>2592</v>
      </c>
      <c r="C379" s="164" t="s">
        <v>64</v>
      </c>
      <c r="D379" s="164" t="s">
        <v>2845</v>
      </c>
      <c r="E379" s="169" t="s">
        <v>2592</v>
      </c>
      <c r="F379" s="169" t="s">
        <v>3208</v>
      </c>
      <c r="G379" s="169">
        <v>24</v>
      </c>
      <c r="H379" s="169" t="s">
        <v>169</v>
      </c>
      <c r="I379" s="165">
        <f t="shared" si="283"/>
        <v>0</v>
      </c>
      <c r="J379" s="165">
        <f t="shared" si="282"/>
        <v>0</v>
      </c>
      <c r="K379" s="150">
        <f t="shared" si="284"/>
        <v>0</v>
      </c>
      <c r="L379" s="150">
        <f t="shared" si="281"/>
        <v>0</v>
      </c>
      <c r="M379" s="166"/>
      <c r="N379" s="150"/>
      <c r="O379" s="150"/>
      <c r="P379" s="150"/>
      <c r="Q379" s="150"/>
      <c r="R379" s="150"/>
      <c r="S379" s="150"/>
      <c r="T379" s="150"/>
      <c r="U379" s="150"/>
      <c r="V379" s="150"/>
      <c r="W379" s="150"/>
      <c r="X379" s="150"/>
      <c r="Y379" s="150"/>
      <c r="Z379" s="150"/>
      <c r="AA379" s="150"/>
      <c r="AB379" s="150"/>
      <c r="AC379" s="165"/>
      <c r="AD379" s="165"/>
      <c r="AE379" s="165"/>
      <c r="AF379" s="165"/>
      <c r="AG379" s="165"/>
      <c r="AH379" s="165"/>
      <c r="AI379" s="150"/>
      <c r="AJ379" s="150"/>
      <c r="AK379" s="150"/>
      <c r="AL379" s="150"/>
      <c r="AM379" s="150"/>
      <c r="AN379" s="150"/>
      <c r="AO379" s="150"/>
      <c r="AP379" s="150"/>
      <c r="AQ379" s="150"/>
      <c r="AR379" s="150"/>
      <c r="AS379" s="150"/>
      <c r="AT379" s="150"/>
      <c r="AU379" s="150"/>
      <c r="AV379" s="150"/>
      <c r="AW379" s="150"/>
      <c r="AX379" s="150"/>
      <c r="AY379" s="150"/>
      <c r="AZ379" s="150"/>
      <c r="BA379" s="150"/>
      <c r="BB379" s="150"/>
      <c r="BC379" s="170"/>
      <c r="BD379" s="170"/>
      <c r="BE379" s="170"/>
      <c r="BF379" s="170"/>
      <c r="BG379" s="170"/>
      <c r="BH379" s="170"/>
      <c r="BI379" s="170"/>
      <c r="BJ379" s="170"/>
      <c r="BK379" s="167">
        <f t="shared" si="259"/>
        <v>0</v>
      </c>
      <c r="BL379" s="167">
        <f t="shared" si="260"/>
        <v>0</v>
      </c>
      <c r="BM379" s="167">
        <f t="shared" si="261"/>
        <v>0</v>
      </c>
      <c r="BN379" s="167">
        <f t="shared" si="262"/>
        <v>0</v>
      </c>
    </row>
    <row r="380" spans="1:66" s="171" customFormat="1" ht="15.75" hidden="1" customHeight="1" outlineLevel="3" x14ac:dyDescent="0.3">
      <c r="A380" s="169"/>
      <c r="B380" s="164" t="s">
        <v>2592</v>
      </c>
      <c r="C380" s="164" t="s">
        <v>64</v>
      </c>
      <c r="D380" s="164" t="s">
        <v>2845</v>
      </c>
      <c r="E380" s="169" t="s">
        <v>2592</v>
      </c>
      <c r="F380" s="169" t="s">
        <v>3208</v>
      </c>
      <c r="G380" s="169">
        <v>25</v>
      </c>
      <c r="H380" s="169" t="s">
        <v>171</v>
      </c>
      <c r="I380" s="165">
        <f t="shared" si="283"/>
        <v>0</v>
      </c>
      <c r="J380" s="165">
        <f t="shared" si="282"/>
        <v>0</v>
      </c>
      <c r="K380" s="150">
        <f t="shared" si="284"/>
        <v>0</v>
      </c>
      <c r="L380" s="150">
        <f t="shared" si="281"/>
        <v>0</v>
      </c>
      <c r="M380" s="166"/>
      <c r="N380" s="150"/>
      <c r="O380" s="150"/>
      <c r="P380" s="150"/>
      <c r="Q380" s="150"/>
      <c r="R380" s="150"/>
      <c r="S380" s="150"/>
      <c r="T380" s="150"/>
      <c r="U380" s="150"/>
      <c r="V380" s="150"/>
      <c r="W380" s="150"/>
      <c r="X380" s="150"/>
      <c r="Y380" s="150"/>
      <c r="Z380" s="150"/>
      <c r="AA380" s="150"/>
      <c r="AB380" s="150"/>
      <c r="AC380" s="165"/>
      <c r="AD380" s="165"/>
      <c r="AE380" s="165"/>
      <c r="AF380" s="165"/>
      <c r="AG380" s="165"/>
      <c r="AH380" s="165"/>
      <c r="AI380" s="150"/>
      <c r="AJ380" s="150"/>
      <c r="AK380" s="150"/>
      <c r="AL380" s="150"/>
      <c r="AM380" s="150"/>
      <c r="AN380" s="150"/>
      <c r="AO380" s="150"/>
      <c r="AP380" s="150"/>
      <c r="AQ380" s="150"/>
      <c r="AR380" s="150"/>
      <c r="AS380" s="150"/>
      <c r="AT380" s="150"/>
      <c r="AU380" s="150"/>
      <c r="AV380" s="150"/>
      <c r="AW380" s="150"/>
      <c r="AX380" s="150"/>
      <c r="AY380" s="150"/>
      <c r="AZ380" s="150"/>
      <c r="BA380" s="150"/>
      <c r="BB380" s="150"/>
      <c r="BC380" s="170"/>
      <c r="BD380" s="170"/>
      <c r="BE380" s="170"/>
      <c r="BF380" s="170"/>
      <c r="BG380" s="170"/>
      <c r="BH380" s="170"/>
      <c r="BI380" s="170"/>
      <c r="BJ380" s="170"/>
      <c r="BK380" s="167">
        <f t="shared" si="259"/>
        <v>0</v>
      </c>
      <c r="BL380" s="167">
        <f t="shared" si="260"/>
        <v>0</v>
      </c>
      <c r="BM380" s="167">
        <f t="shared" si="261"/>
        <v>0</v>
      </c>
      <c r="BN380" s="167">
        <f t="shared" si="262"/>
        <v>0</v>
      </c>
    </row>
    <row r="381" spans="1:66" s="171" customFormat="1" ht="15.75" hidden="1" customHeight="1" outlineLevel="3" x14ac:dyDescent="0.3">
      <c r="A381" s="169"/>
      <c r="B381" s="164" t="s">
        <v>2592</v>
      </c>
      <c r="C381" s="164" t="s">
        <v>64</v>
      </c>
      <c r="D381" s="164" t="s">
        <v>2845</v>
      </c>
      <c r="E381" s="169" t="s">
        <v>2592</v>
      </c>
      <c r="F381" s="169" t="s">
        <v>3208</v>
      </c>
      <c r="G381" s="169">
        <v>26</v>
      </c>
      <c r="H381" s="169" t="s">
        <v>173</v>
      </c>
      <c r="I381" s="165">
        <f t="shared" si="283"/>
        <v>0</v>
      </c>
      <c r="J381" s="165">
        <f t="shared" si="282"/>
        <v>0</v>
      </c>
      <c r="K381" s="150">
        <f t="shared" si="284"/>
        <v>0</v>
      </c>
      <c r="L381" s="150">
        <f t="shared" si="281"/>
        <v>0</v>
      </c>
      <c r="M381" s="166"/>
      <c r="N381" s="150"/>
      <c r="O381" s="150"/>
      <c r="P381" s="150"/>
      <c r="Q381" s="150"/>
      <c r="R381" s="150"/>
      <c r="S381" s="150"/>
      <c r="T381" s="150"/>
      <c r="U381" s="150"/>
      <c r="V381" s="150"/>
      <c r="W381" s="150"/>
      <c r="X381" s="150"/>
      <c r="Y381" s="150"/>
      <c r="Z381" s="150"/>
      <c r="AA381" s="150"/>
      <c r="AB381" s="150"/>
      <c r="AC381" s="165"/>
      <c r="AD381" s="165"/>
      <c r="AE381" s="165"/>
      <c r="AF381" s="165"/>
      <c r="AG381" s="165"/>
      <c r="AH381" s="165"/>
      <c r="AI381" s="150"/>
      <c r="AJ381" s="150"/>
      <c r="AK381" s="150"/>
      <c r="AL381" s="150"/>
      <c r="AM381" s="150"/>
      <c r="AN381" s="150"/>
      <c r="AO381" s="150"/>
      <c r="AP381" s="150"/>
      <c r="AQ381" s="150"/>
      <c r="AR381" s="150"/>
      <c r="AS381" s="150"/>
      <c r="AT381" s="150"/>
      <c r="AU381" s="150"/>
      <c r="AV381" s="150"/>
      <c r="AW381" s="150"/>
      <c r="AX381" s="150"/>
      <c r="AY381" s="150"/>
      <c r="AZ381" s="150"/>
      <c r="BA381" s="150"/>
      <c r="BB381" s="150"/>
      <c r="BC381" s="170"/>
      <c r="BD381" s="170"/>
      <c r="BE381" s="170"/>
      <c r="BF381" s="170"/>
      <c r="BG381" s="170"/>
      <c r="BH381" s="170"/>
      <c r="BI381" s="170"/>
      <c r="BJ381" s="170"/>
      <c r="BK381" s="167">
        <f t="shared" si="259"/>
        <v>0</v>
      </c>
      <c r="BL381" s="167">
        <f t="shared" si="260"/>
        <v>0</v>
      </c>
      <c r="BM381" s="167">
        <f t="shared" si="261"/>
        <v>0</v>
      </c>
      <c r="BN381" s="167">
        <f t="shared" si="262"/>
        <v>0</v>
      </c>
    </row>
    <row r="382" spans="1:66" s="171" customFormat="1" ht="15.75" hidden="1" customHeight="1" outlineLevel="3" x14ac:dyDescent="0.3">
      <c r="A382" s="169"/>
      <c r="B382" s="164" t="s">
        <v>2592</v>
      </c>
      <c r="C382" s="164" t="s">
        <v>64</v>
      </c>
      <c r="D382" s="164" t="s">
        <v>2845</v>
      </c>
      <c r="E382" s="169" t="s">
        <v>2592</v>
      </c>
      <c r="F382" s="169" t="s">
        <v>3208</v>
      </c>
      <c r="G382" s="169">
        <v>30</v>
      </c>
      <c r="H382" s="169" t="s">
        <v>177</v>
      </c>
      <c r="I382" s="165">
        <f t="shared" si="283"/>
        <v>0</v>
      </c>
      <c r="J382" s="165">
        <f t="shared" si="282"/>
        <v>0</v>
      </c>
      <c r="K382" s="150">
        <f t="shared" si="284"/>
        <v>0</v>
      </c>
      <c r="L382" s="150">
        <f t="shared" si="281"/>
        <v>0</v>
      </c>
      <c r="M382" s="166"/>
      <c r="N382" s="150"/>
      <c r="O382" s="150"/>
      <c r="P382" s="150"/>
      <c r="Q382" s="150"/>
      <c r="R382" s="150"/>
      <c r="S382" s="150"/>
      <c r="T382" s="150"/>
      <c r="U382" s="150"/>
      <c r="V382" s="150"/>
      <c r="W382" s="150"/>
      <c r="X382" s="150"/>
      <c r="Y382" s="150"/>
      <c r="Z382" s="150"/>
      <c r="AA382" s="150"/>
      <c r="AB382" s="150"/>
      <c r="AC382" s="165"/>
      <c r="AD382" s="165"/>
      <c r="AE382" s="165"/>
      <c r="AF382" s="165"/>
      <c r="AG382" s="165"/>
      <c r="AH382" s="165"/>
      <c r="AI382" s="150"/>
      <c r="AJ382" s="150"/>
      <c r="AK382" s="150"/>
      <c r="AL382" s="150"/>
      <c r="AM382" s="150"/>
      <c r="AN382" s="150"/>
      <c r="AO382" s="150"/>
      <c r="AP382" s="150"/>
      <c r="AQ382" s="150"/>
      <c r="AR382" s="150"/>
      <c r="AS382" s="150"/>
      <c r="AT382" s="150"/>
      <c r="AU382" s="150"/>
      <c r="AV382" s="150"/>
      <c r="AW382" s="150"/>
      <c r="AX382" s="150"/>
      <c r="AY382" s="150"/>
      <c r="AZ382" s="150"/>
      <c r="BA382" s="150"/>
      <c r="BB382" s="150"/>
      <c r="BC382" s="170"/>
      <c r="BD382" s="170"/>
      <c r="BE382" s="170"/>
      <c r="BF382" s="170"/>
      <c r="BG382" s="170"/>
      <c r="BH382" s="170"/>
      <c r="BI382" s="170"/>
      <c r="BJ382" s="170"/>
      <c r="BK382" s="167">
        <f t="shared" si="259"/>
        <v>0</v>
      </c>
      <c r="BL382" s="167">
        <f t="shared" si="260"/>
        <v>0</v>
      </c>
      <c r="BM382" s="167">
        <f t="shared" si="261"/>
        <v>0</v>
      </c>
      <c r="BN382" s="167">
        <f t="shared" si="262"/>
        <v>0</v>
      </c>
    </row>
    <row r="383" spans="1:66" s="171" customFormat="1" ht="15.75" hidden="1" customHeight="1" outlineLevel="3" x14ac:dyDescent="0.3">
      <c r="A383" s="169"/>
      <c r="B383" s="164" t="s">
        <v>2592</v>
      </c>
      <c r="C383" s="164" t="s">
        <v>64</v>
      </c>
      <c r="D383" s="164" t="s">
        <v>2845</v>
      </c>
      <c r="E383" s="169" t="s">
        <v>2592</v>
      </c>
      <c r="F383" s="169" t="s">
        <v>3208</v>
      </c>
      <c r="G383" s="169">
        <v>31</v>
      </c>
      <c r="H383" s="169" t="s">
        <v>179</v>
      </c>
      <c r="I383" s="165">
        <f t="shared" si="283"/>
        <v>0</v>
      </c>
      <c r="J383" s="165">
        <f t="shared" si="282"/>
        <v>0</v>
      </c>
      <c r="K383" s="150">
        <f t="shared" si="284"/>
        <v>0</v>
      </c>
      <c r="L383" s="150">
        <f t="shared" si="281"/>
        <v>0</v>
      </c>
      <c r="M383" s="166"/>
      <c r="N383" s="150"/>
      <c r="O383" s="150"/>
      <c r="P383" s="150"/>
      <c r="Q383" s="150"/>
      <c r="R383" s="150"/>
      <c r="S383" s="150"/>
      <c r="T383" s="150"/>
      <c r="U383" s="150"/>
      <c r="V383" s="150"/>
      <c r="W383" s="150"/>
      <c r="X383" s="150"/>
      <c r="Y383" s="150"/>
      <c r="Z383" s="150"/>
      <c r="AA383" s="150"/>
      <c r="AB383" s="150"/>
      <c r="AC383" s="165"/>
      <c r="AD383" s="165"/>
      <c r="AE383" s="165"/>
      <c r="AF383" s="165"/>
      <c r="AG383" s="165"/>
      <c r="AH383" s="165"/>
      <c r="AI383" s="150"/>
      <c r="AJ383" s="150"/>
      <c r="AK383" s="150"/>
      <c r="AL383" s="150"/>
      <c r="AM383" s="150"/>
      <c r="AN383" s="150"/>
      <c r="AO383" s="150"/>
      <c r="AP383" s="150"/>
      <c r="AQ383" s="150"/>
      <c r="AR383" s="150"/>
      <c r="AS383" s="150"/>
      <c r="AT383" s="150"/>
      <c r="AU383" s="150"/>
      <c r="AV383" s="150"/>
      <c r="AW383" s="150"/>
      <c r="AX383" s="150"/>
      <c r="AY383" s="150"/>
      <c r="AZ383" s="150"/>
      <c r="BA383" s="150"/>
      <c r="BB383" s="150"/>
      <c r="BC383" s="170"/>
      <c r="BD383" s="170"/>
      <c r="BE383" s="170"/>
      <c r="BF383" s="170"/>
      <c r="BG383" s="170"/>
      <c r="BH383" s="170"/>
      <c r="BI383" s="170"/>
      <c r="BJ383" s="170"/>
      <c r="BK383" s="167">
        <f t="shared" si="259"/>
        <v>0</v>
      </c>
      <c r="BL383" s="167">
        <f t="shared" si="260"/>
        <v>0</v>
      </c>
      <c r="BM383" s="167">
        <f t="shared" si="261"/>
        <v>0</v>
      </c>
      <c r="BN383" s="167">
        <f t="shared" si="262"/>
        <v>0</v>
      </c>
    </row>
    <row r="384" spans="1:66" s="171" customFormat="1" ht="15.75" hidden="1" customHeight="1" outlineLevel="3" x14ac:dyDescent="0.3">
      <c r="A384" s="169"/>
      <c r="B384" s="164" t="s">
        <v>2592</v>
      </c>
      <c r="C384" s="164" t="s">
        <v>64</v>
      </c>
      <c r="D384" s="164" t="s">
        <v>2845</v>
      </c>
      <c r="E384" s="169" t="s">
        <v>2592</v>
      </c>
      <c r="F384" s="169" t="s">
        <v>3208</v>
      </c>
      <c r="G384" s="169">
        <v>32</v>
      </c>
      <c r="H384" s="169" t="s">
        <v>181</v>
      </c>
      <c r="I384" s="165">
        <f t="shared" si="283"/>
        <v>0</v>
      </c>
      <c r="J384" s="165">
        <f t="shared" si="282"/>
        <v>0</v>
      </c>
      <c r="K384" s="150">
        <f t="shared" si="284"/>
        <v>0</v>
      </c>
      <c r="L384" s="150">
        <f t="shared" si="281"/>
        <v>0</v>
      </c>
      <c r="M384" s="166"/>
      <c r="N384" s="150"/>
      <c r="O384" s="150"/>
      <c r="P384" s="150"/>
      <c r="Q384" s="150"/>
      <c r="R384" s="150"/>
      <c r="S384" s="150"/>
      <c r="T384" s="150"/>
      <c r="U384" s="150"/>
      <c r="V384" s="150"/>
      <c r="W384" s="150"/>
      <c r="X384" s="150"/>
      <c r="Y384" s="150"/>
      <c r="Z384" s="150"/>
      <c r="AA384" s="150"/>
      <c r="AB384" s="150"/>
      <c r="AC384" s="165"/>
      <c r="AD384" s="165"/>
      <c r="AE384" s="165"/>
      <c r="AF384" s="165"/>
      <c r="AG384" s="165"/>
      <c r="AH384" s="165"/>
      <c r="AI384" s="150"/>
      <c r="AJ384" s="150"/>
      <c r="AK384" s="150"/>
      <c r="AL384" s="150"/>
      <c r="AM384" s="150"/>
      <c r="AN384" s="150"/>
      <c r="AO384" s="150"/>
      <c r="AP384" s="150"/>
      <c r="AQ384" s="150"/>
      <c r="AR384" s="150"/>
      <c r="AS384" s="150"/>
      <c r="AT384" s="150"/>
      <c r="AU384" s="150"/>
      <c r="AV384" s="150"/>
      <c r="AW384" s="150"/>
      <c r="AX384" s="150"/>
      <c r="AY384" s="150"/>
      <c r="AZ384" s="150"/>
      <c r="BA384" s="150"/>
      <c r="BB384" s="150"/>
      <c r="BC384" s="170"/>
      <c r="BD384" s="170"/>
      <c r="BE384" s="170"/>
      <c r="BF384" s="170"/>
      <c r="BG384" s="170"/>
      <c r="BH384" s="170"/>
      <c r="BI384" s="170"/>
      <c r="BJ384" s="170"/>
      <c r="BK384" s="167">
        <f t="shared" si="259"/>
        <v>0</v>
      </c>
      <c r="BL384" s="167">
        <f t="shared" si="260"/>
        <v>0</v>
      </c>
      <c r="BM384" s="167">
        <f t="shared" si="261"/>
        <v>0</v>
      </c>
      <c r="BN384" s="167">
        <f t="shared" si="262"/>
        <v>0</v>
      </c>
    </row>
    <row r="385" spans="1:66" s="171" customFormat="1" ht="15.75" hidden="1" customHeight="1" outlineLevel="3" x14ac:dyDescent="0.3">
      <c r="A385" s="169"/>
      <c r="B385" s="164" t="s">
        <v>2592</v>
      </c>
      <c r="C385" s="164" t="s">
        <v>64</v>
      </c>
      <c r="D385" s="164" t="s">
        <v>2845</v>
      </c>
      <c r="E385" s="169" t="s">
        <v>2592</v>
      </c>
      <c r="F385" s="169" t="s">
        <v>3208</v>
      </c>
      <c r="G385" s="169">
        <v>33</v>
      </c>
      <c r="H385" s="169" t="s">
        <v>183</v>
      </c>
      <c r="I385" s="165">
        <f t="shared" si="283"/>
        <v>0</v>
      </c>
      <c r="J385" s="165">
        <f t="shared" si="282"/>
        <v>0</v>
      </c>
      <c r="K385" s="150">
        <f t="shared" si="284"/>
        <v>0</v>
      </c>
      <c r="L385" s="150">
        <f t="shared" si="281"/>
        <v>0</v>
      </c>
      <c r="M385" s="166"/>
      <c r="N385" s="150"/>
      <c r="O385" s="150"/>
      <c r="P385" s="150"/>
      <c r="Q385" s="150"/>
      <c r="R385" s="150"/>
      <c r="S385" s="150"/>
      <c r="T385" s="150"/>
      <c r="U385" s="150"/>
      <c r="V385" s="150"/>
      <c r="W385" s="150"/>
      <c r="X385" s="150"/>
      <c r="Y385" s="150"/>
      <c r="Z385" s="150"/>
      <c r="AA385" s="150"/>
      <c r="AB385" s="150"/>
      <c r="AC385" s="165"/>
      <c r="AD385" s="165"/>
      <c r="AE385" s="165"/>
      <c r="AF385" s="165"/>
      <c r="AG385" s="165"/>
      <c r="AH385" s="165"/>
      <c r="AI385" s="150"/>
      <c r="AJ385" s="150"/>
      <c r="AK385" s="150"/>
      <c r="AL385" s="150"/>
      <c r="AM385" s="150"/>
      <c r="AN385" s="150"/>
      <c r="AO385" s="150"/>
      <c r="AP385" s="150"/>
      <c r="AQ385" s="150"/>
      <c r="AR385" s="150"/>
      <c r="AS385" s="150"/>
      <c r="AT385" s="150"/>
      <c r="AU385" s="150"/>
      <c r="AV385" s="150"/>
      <c r="AW385" s="150"/>
      <c r="AX385" s="150"/>
      <c r="AY385" s="150"/>
      <c r="AZ385" s="150"/>
      <c r="BA385" s="150"/>
      <c r="BB385" s="150"/>
      <c r="BC385" s="170"/>
      <c r="BD385" s="170"/>
      <c r="BE385" s="170"/>
      <c r="BF385" s="170"/>
      <c r="BG385" s="170"/>
      <c r="BH385" s="170"/>
      <c r="BI385" s="170"/>
      <c r="BJ385" s="170"/>
      <c r="BK385" s="167">
        <f t="shared" si="259"/>
        <v>0</v>
      </c>
      <c r="BL385" s="167">
        <f t="shared" si="260"/>
        <v>0</v>
      </c>
      <c r="BM385" s="167">
        <f t="shared" si="261"/>
        <v>0</v>
      </c>
      <c r="BN385" s="167">
        <f t="shared" si="262"/>
        <v>0</v>
      </c>
    </row>
    <row r="386" spans="1:66" s="171" customFormat="1" ht="15.75" hidden="1" customHeight="1" outlineLevel="3" x14ac:dyDescent="0.3">
      <c r="A386" s="169"/>
      <c r="B386" s="164" t="s">
        <v>2592</v>
      </c>
      <c r="C386" s="164" t="s">
        <v>64</v>
      </c>
      <c r="D386" s="164" t="s">
        <v>2845</v>
      </c>
      <c r="E386" s="169" t="s">
        <v>2592</v>
      </c>
      <c r="F386" s="169" t="s">
        <v>3208</v>
      </c>
      <c r="G386" s="169">
        <v>34</v>
      </c>
      <c r="H386" s="169" t="s">
        <v>185</v>
      </c>
      <c r="I386" s="165">
        <f t="shared" si="283"/>
        <v>0</v>
      </c>
      <c r="J386" s="165">
        <f t="shared" si="282"/>
        <v>0</v>
      </c>
      <c r="K386" s="150">
        <f t="shared" si="284"/>
        <v>0</v>
      </c>
      <c r="L386" s="150">
        <f t="shared" si="281"/>
        <v>0</v>
      </c>
      <c r="M386" s="166"/>
      <c r="N386" s="150"/>
      <c r="O386" s="150"/>
      <c r="P386" s="150"/>
      <c r="Q386" s="150"/>
      <c r="R386" s="150"/>
      <c r="S386" s="150"/>
      <c r="T386" s="150"/>
      <c r="U386" s="150"/>
      <c r="V386" s="150"/>
      <c r="W386" s="150"/>
      <c r="X386" s="150"/>
      <c r="Y386" s="150"/>
      <c r="Z386" s="150"/>
      <c r="AA386" s="150"/>
      <c r="AB386" s="150"/>
      <c r="AC386" s="165"/>
      <c r="AD386" s="165"/>
      <c r="AE386" s="165"/>
      <c r="AF386" s="165"/>
      <c r="AG386" s="165"/>
      <c r="AH386" s="165"/>
      <c r="AI386" s="150"/>
      <c r="AJ386" s="150"/>
      <c r="AK386" s="150"/>
      <c r="AL386" s="150"/>
      <c r="AM386" s="150"/>
      <c r="AN386" s="150"/>
      <c r="AO386" s="150"/>
      <c r="AP386" s="150"/>
      <c r="AQ386" s="150"/>
      <c r="AR386" s="150"/>
      <c r="AS386" s="150"/>
      <c r="AT386" s="150"/>
      <c r="AU386" s="150"/>
      <c r="AV386" s="150"/>
      <c r="AW386" s="150"/>
      <c r="AX386" s="150"/>
      <c r="AY386" s="150"/>
      <c r="AZ386" s="150"/>
      <c r="BA386" s="150"/>
      <c r="BB386" s="150"/>
      <c r="BC386" s="170"/>
      <c r="BD386" s="170"/>
      <c r="BE386" s="170"/>
      <c r="BF386" s="170"/>
      <c r="BG386" s="170"/>
      <c r="BH386" s="170"/>
      <c r="BI386" s="170"/>
      <c r="BJ386" s="170"/>
      <c r="BK386" s="167">
        <f t="shared" si="259"/>
        <v>0</v>
      </c>
      <c r="BL386" s="167">
        <f t="shared" si="260"/>
        <v>0</v>
      </c>
      <c r="BM386" s="167">
        <f t="shared" si="261"/>
        <v>0</v>
      </c>
      <c r="BN386" s="167">
        <f t="shared" si="262"/>
        <v>0</v>
      </c>
    </row>
    <row r="387" spans="1:66" s="171" customFormat="1" ht="15.75" hidden="1" customHeight="1" outlineLevel="3" x14ac:dyDescent="0.3">
      <c r="A387" s="169"/>
      <c r="B387" s="164" t="s">
        <v>2592</v>
      </c>
      <c r="C387" s="164" t="s">
        <v>64</v>
      </c>
      <c r="D387" s="164" t="s">
        <v>2845</v>
      </c>
      <c r="E387" s="169" t="s">
        <v>2592</v>
      </c>
      <c r="F387" s="169" t="s">
        <v>3208</v>
      </c>
      <c r="G387" s="169">
        <v>35</v>
      </c>
      <c r="H387" s="169" t="s">
        <v>187</v>
      </c>
      <c r="I387" s="165">
        <f t="shared" si="283"/>
        <v>0</v>
      </c>
      <c r="J387" s="165">
        <f t="shared" si="282"/>
        <v>0</v>
      </c>
      <c r="K387" s="150">
        <f t="shared" si="284"/>
        <v>0</v>
      </c>
      <c r="L387" s="150">
        <f t="shared" si="281"/>
        <v>0</v>
      </c>
      <c r="M387" s="166"/>
      <c r="N387" s="150"/>
      <c r="O387" s="150"/>
      <c r="P387" s="150"/>
      <c r="Q387" s="150"/>
      <c r="R387" s="150"/>
      <c r="S387" s="150"/>
      <c r="T387" s="150"/>
      <c r="U387" s="150"/>
      <c r="V387" s="150"/>
      <c r="W387" s="150"/>
      <c r="X387" s="150"/>
      <c r="Y387" s="150"/>
      <c r="Z387" s="150"/>
      <c r="AA387" s="150"/>
      <c r="AB387" s="150"/>
      <c r="AC387" s="165"/>
      <c r="AD387" s="165"/>
      <c r="AE387" s="165"/>
      <c r="AF387" s="165"/>
      <c r="AG387" s="165"/>
      <c r="AH387" s="165"/>
      <c r="AI387" s="150"/>
      <c r="AJ387" s="150"/>
      <c r="AK387" s="150"/>
      <c r="AL387" s="150"/>
      <c r="AM387" s="150"/>
      <c r="AN387" s="150"/>
      <c r="AO387" s="150"/>
      <c r="AP387" s="150"/>
      <c r="AQ387" s="150"/>
      <c r="AR387" s="150"/>
      <c r="AS387" s="150"/>
      <c r="AT387" s="150"/>
      <c r="AU387" s="150"/>
      <c r="AV387" s="150"/>
      <c r="AW387" s="150"/>
      <c r="AX387" s="150"/>
      <c r="AY387" s="150"/>
      <c r="AZ387" s="150"/>
      <c r="BA387" s="150"/>
      <c r="BB387" s="150"/>
      <c r="BC387" s="170"/>
      <c r="BD387" s="170"/>
      <c r="BE387" s="170"/>
      <c r="BF387" s="170"/>
      <c r="BG387" s="170"/>
      <c r="BH387" s="170"/>
      <c r="BI387" s="170"/>
      <c r="BJ387" s="170"/>
      <c r="BK387" s="167">
        <f t="shared" ref="BK387:BK450" si="285">+SUM(N387:AA387)</f>
        <v>0</v>
      </c>
      <c r="BL387" s="167">
        <f t="shared" ref="BL387:BL450" si="286">+AB387</f>
        <v>0</v>
      </c>
      <c r="BM387" s="167">
        <f t="shared" ref="BM387:BM450" si="287">+SUM(AC387:AO387)</f>
        <v>0</v>
      </c>
      <c r="BN387" s="167">
        <f t="shared" ref="BN387:BN450" si="288">+SUM(AP387:BJ387)</f>
        <v>0</v>
      </c>
    </row>
    <row r="388" spans="1:66" s="171" customFormat="1" ht="15.75" hidden="1" customHeight="1" outlineLevel="3" x14ac:dyDescent="0.3">
      <c r="A388" s="169"/>
      <c r="B388" s="164" t="s">
        <v>2592</v>
      </c>
      <c r="C388" s="164" t="s">
        <v>64</v>
      </c>
      <c r="D388" s="164" t="s">
        <v>2845</v>
      </c>
      <c r="E388" s="169" t="s">
        <v>2592</v>
      </c>
      <c r="F388" s="169" t="s">
        <v>3208</v>
      </c>
      <c r="G388" s="169">
        <v>36</v>
      </c>
      <c r="H388" s="169" t="s">
        <v>189</v>
      </c>
      <c r="I388" s="165">
        <f t="shared" si="283"/>
        <v>0</v>
      </c>
      <c r="J388" s="165">
        <f t="shared" si="282"/>
        <v>0</v>
      </c>
      <c r="K388" s="150">
        <f t="shared" si="284"/>
        <v>0</v>
      </c>
      <c r="L388" s="150">
        <f t="shared" si="281"/>
        <v>0</v>
      </c>
      <c r="M388" s="166"/>
      <c r="N388" s="150"/>
      <c r="O388" s="150"/>
      <c r="P388" s="150"/>
      <c r="Q388" s="150"/>
      <c r="R388" s="150"/>
      <c r="S388" s="150"/>
      <c r="T388" s="150"/>
      <c r="U388" s="150"/>
      <c r="V388" s="150"/>
      <c r="W388" s="150"/>
      <c r="X388" s="150"/>
      <c r="Y388" s="150"/>
      <c r="Z388" s="150"/>
      <c r="AA388" s="150"/>
      <c r="AB388" s="150"/>
      <c r="AC388" s="165"/>
      <c r="AD388" s="165"/>
      <c r="AE388" s="165"/>
      <c r="AF388" s="165"/>
      <c r="AG388" s="165"/>
      <c r="AH388" s="165"/>
      <c r="AI388" s="150"/>
      <c r="AJ388" s="150"/>
      <c r="AK388" s="150"/>
      <c r="AL388" s="150"/>
      <c r="AM388" s="150"/>
      <c r="AN388" s="150"/>
      <c r="AO388" s="150"/>
      <c r="AP388" s="150"/>
      <c r="AQ388" s="150"/>
      <c r="AR388" s="150"/>
      <c r="AS388" s="150"/>
      <c r="AT388" s="150"/>
      <c r="AU388" s="150"/>
      <c r="AV388" s="150"/>
      <c r="AW388" s="150"/>
      <c r="AX388" s="150"/>
      <c r="AY388" s="150"/>
      <c r="AZ388" s="150"/>
      <c r="BA388" s="150"/>
      <c r="BB388" s="150"/>
      <c r="BC388" s="170"/>
      <c r="BD388" s="170"/>
      <c r="BE388" s="170"/>
      <c r="BF388" s="170"/>
      <c r="BG388" s="170"/>
      <c r="BH388" s="170"/>
      <c r="BI388" s="170"/>
      <c r="BJ388" s="170"/>
      <c r="BK388" s="167">
        <f t="shared" si="285"/>
        <v>0</v>
      </c>
      <c r="BL388" s="167">
        <f t="shared" si="286"/>
        <v>0</v>
      </c>
      <c r="BM388" s="167">
        <f t="shared" si="287"/>
        <v>0</v>
      </c>
      <c r="BN388" s="167">
        <f t="shared" si="288"/>
        <v>0</v>
      </c>
    </row>
    <row r="389" spans="1:66" s="171" customFormat="1" ht="15.75" hidden="1" customHeight="1" outlineLevel="3" x14ac:dyDescent="0.3">
      <c r="A389" s="169"/>
      <c r="B389" s="164" t="s">
        <v>2592</v>
      </c>
      <c r="C389" s="164" t="s">
        <v>64</v>
      </c>
      <c r="D389" s="164" t="s">
        <v>2845</v>
      </c>
      <c r="E389" s="169" t="s">
        <v>2592</v>
      </c>
      <c r="F389" s="169" t="s">
        <v>3208</v>
      </c>
      <c r="G389" s="169">
        <v>37</v>
      </c>
      <c r="H389" s="169" t="s">
        <v>191</v>
      </c>
      <c r="I389" s="165">
        <f t="shared" si="283"/>
        <v>0</v>
      </c>
      <c r="J389" s="165">
        <f t="shared" si="282"/>
        <v>0</v>
      </c>
      <c r="K389" s="150">
        <f t="shared" si="284"/>
        <v>0</v>
      </c>
      <c r="L389" s="150">
        <f t="shared" si="281"/>
        <v>0</v>
      </c>
      <c r="M389" s="166"/>
      <c r="N389" s="150"/>
      <c r="O389" s="150"/>
      <c r="P389" s="150"/>
      <c r="Q389" s="150"/>
      <c r="R389" s="150"/>
      <c r="S389" s="150"/>
      <c r="T389" s="150"/>
      <c r="U389" s="150"/>
      <c r="V389" s="150"/>
      <c r="W389" s="150"/>
      <c r="X389" s="150"/>
      <c r="Y389" s="150"/>
      <c r="Z389" s="150"/>
      <c r="AA389" s="150"/>
      <c r="AB389" s="150"/>
      <c r="AC389" s="165"/>
      <c r="AD389" s="165"/>
      <c r="AE389" s="165"/>
      <c r="AF389" s="165"/>
      <c r="AG389" s="165"/>
      <c r="AH389" s="165"/>
      <c r="AI389" s="150"/>
      <c r="AJ389" s="150"/>
      <c r="AK389" s="150"/>
      <c r="AL389" s="150"/>
      <c r="AM389" s="150"/>
      <c r="AN389" s="150"/>
      <c r="AO389" s="150"/>
      <c r="AP389" s="150"/>
      <c r="AQ389" s="150"/>
      <c r="AR389" s="150"/>
      <c r="AS389" s="150"/>
      <c r="AT389" s="150"/>
      <c r="AU389" s="150"/>
      <c r="AV389" s="150"/>
      <c r="AW389" s="150"/>
      <c r="AX389" s="150"/>
      <c r="AY389" s="150"/>
      <c r="AZ389" s="150"/>
      <c r="BA389" s="150"/>
      <c r="BB389" s="150"/>
      <c r="BC389" s="170"/>
      <c r="BD389" s="170"/>
      <c r="BE389" s="170"/>
      <c r="BF389" s="170"/>
      <c r="BG389" s="170"/>
      <c r="BH389" s="170"/>
      <c r="BI389" s="170"/>
      <c r="BJ389" s="170"/>
      <c r="BK389" s="167">
        <f t="shared" si="285"/>
        <v>0</v>
      </c>
      <c r="BL389" s="167">
        <f t="shared" si="286"/>
        <v>0</v>
      </c>
      <c r="BM389" s="167">
        <f t="shared" si="287"/>
        <v>0</v>
      </c>
      <c r="BN389" s="167">
        <f t="shared" si="288"/>
        <v>0</v>
      </c>
    </row>
    <row r="390" spans="1:66" s="171" customFormat="1" ht="15.75" hidden="1" customHeight="1" outlineLevel="3" x14ac:dyDescent="0.3">
      <c r="A390" s="169"/>
      <c r="B390" s="164" t="s">
        <v>2592</v>
      </c>
      <c r="C390" s="164" t="s">
        <v>64</v>
      </c>
      <c r="D390" s="164" t="s">
        <v>2845</v>
      </c>
      <c r="E390" s="169" t="s">
        <v>2592</v>
      </c>
      <c r="F390" s="169" t="s">
        <v>3208</v>
      </c>
      <c r="G390" s="169">
        <v>38</v>
      </c>
      <c r="H390" s="169" t="s">
        <v>193</v>
      </c>
      <c r="I390" s="165">
        <f t="shared" si="283"/>
        <v>0</v>
      </c>
      <c r="J390" s="165">
        <f t="shared" si="282"/>
        <v>0</v>
      </c>
      <c r="K390" s="150">
        <f t="shared" si="284"/>
        <v>0</v>
      </c>
      <c r="L390" s="150">
        <f t="shared" si="281"/>
        <v>0</v>
      </c>
      <c r="M390" s="166"/>
      <c r="N390" s="150"/>
      <c r="O390" s="150"/>
      <c r="P390" s="150"/>
      <c r="Q390" s="150"/>
      <c r="R390" s="150"/>
      <c r="S390" s="150"/>
      <c r="T390" s="150"/>
      <c r="U390" s="150"/>
      <c r="V390" s="150"/>
      <c r="W390" s="150"/>
      <c r="X390" s="150"/>
      <c r="Y390" s="150"/>
      <c r="Z390" s="150"/>
      <c r="AA390" s="150"/>
      <c r="AB390" s="150"/>
      <c r="AC390" s="165"/>
      <c r="AD390" s="165"/>
      <c r="AE390" s="165"/>
      <c r="AF390" s="165"/>
      <c r="AG390" s="165"/>
      <c r="AH390" s="165"/>
      <c r="AI390" s="150"/>
      <c r="AJ390" s="150"/>
      <c r="AK390" s="150"/>
      <c r="AL390" s="150"/>
      <c r="AM390" s="150"/>
      <c r="AN390" s="150"/>
      <c r="AO390" s="150"/>
      <c r="AP390" s="150"/>
      <c r="AQ390" s="150"/>
      <c r="AR390" s="150"/>
      <c r="AS390" s="150"/>
      <c r="AT390" s="150"/>
      <c r="AU390" s="150"/>
      <c r="AV390" s="150"/>
      <c r="AW390" s="150"/>
      <c r="AX390" s="150"/>
      <c r="AY390" s="150"/>
      <c r="AZ390" s="150"/>
      <c r="BA390" s="150"/>
      <c r="BB390" s="150"/>
      <c r="BC390" s="170"/>
      <c r="BD390" s="170"/>
      <c r="BE390" s="170"/>
      <c r="BF390" s="170"/>
      <c r="BG390" s="170"/>
      <c r="BH390" s="170"/>
      <c r="BI390" s="170"/>
      <c r="BJ390" s="170"/>
      <c r="BK390" s="167">
        <f t="shared" si="285"/>
        <v>0</v>
      </c>
      <c r="BL390" s="167">
        <f t="shared" si="286"/>
        <v>0</v>
      </c>
      <c r="BM390" s="167">
        <f t="shared" si="287"/>
        <v>0</v>
      </c>
      <c r="BN390" s="167">
        <f t="shared" si="288"/>
        <v>0</v>
      </c>
    </row>
    <row r="391" spans="1:66" s="171" customFormat="1" ht="15.75" hidden="1" customHeight="1" outlineLevel="3" x14ac:dyDescent="0.3">
      <c r="A391" s="169"/>
      <c r="B391" s="164" t="s">
        <v>2592</v>
      </c>
      <c r="C391" s="164" t="s">
        <v>64</v>
      </c>
      <c r="D391" s="164" t="s">
        <v>2845</v>
      </c>
      <c r="E391" s="169" t="s">
        <v>2592</v>
      </c>
      <c r="F391" s="169" t="s">
        <v>3208</v>
      </c>
      <c r="G391" s="169">
        <v>39</v>
      </c>
      <c r="H391" s="169" t="s">
        <v>195</v>
      </c>
      <c r="I391" s="165">
        <f t="shared" si="283"/>
        <v>0</v>
      </c>
      <c r="J391" s="165">
        <f t="shared" si="282"/>
        <v>0</v>
      </c>
      <c r="K391" s="150">
        <f t="shared" si="284"/>
        <v>0</v>
      </c>
      <c r="L391" s="150">
        <f t="shared" si="281"/>
        <v>0</v>
      </c>
      <c r="M391" s="166"/>
      <c r="N391" s="150"/>
      <c r="O391" s="150"/>
      <c r="P391" s="150"/>
      <c r="Q391" s="150"/>
      <c r="R391" s="150"/>
      <c r="S391" s="150"/>
      <c r="T391" s="150"/>
      <c r="U391" s="150"/>
      <c r="V391" s="150"/>
      <c r="W391" s="150"/>
      <c r="X391" s="150"/>
      <c r="Y391" s="150"/>
      <c r="Z391" s="150"/>
      <c r="AA391" s="150"/>
      <c r="AB391" s="150"/>
      <c r="AC391" s="165"/>
      <c r="AD391" s="165"/>
      <c r="AE391" s="165"/>
      <c r="AF391" s="165"/>
      <c r="AG391" s="165"/>
      <c r="AH391" s="165"/>
      <c r="AI391" s="150"/>
      <c r="AJ391" s="150"/>
      <c r="AK391" s="150"/>
      <c r="AL391" s="150"/>
      <c r="AM391" s="150"/>
      <c r="AN391" s="150"/>
      <c r="AO391" s="150"/>
      <c r="AP391" s="150"/>
      <c r="AQ391" s="150"/>
      <c r="AR391" s="150"/>
      <c r="AS391" s="150"/>
      <c r="AT391" s="150"/>
      <c r="AU391" s="150"/>
      <c r="AV391" s="150"/>
      <c r="AW391" s="150"/>
      <c r="AX391" s="150"/>
      <c r="AY391" s="150"/>
      <c r="AZ391" s="150"/>
      <c r="BA391" s="150"/>
      <c r="BB391" s="150"/>
      <c r="BC391" s="170"/>
      <c r="BD391" s="170"/>
      <c r="BE391" s="170"/>
      <c r="BF391" s="170"/>
      <c r="BG391" s="170"/>
      <c r="BH391" s="170"/>
      <c r="BI391" s="170"/>
      <c r="BJ391" s="170"/>
      <c r="BK391" s="167">
        <f t="shared" si="285"/>
        <v>0</v>
      </c>
      <c r="BL391" s="167">
        <f t="shared" si="286"/>
        <v>0</v>
      </c>
      <c r="BM391" s="167">
        <f t="shared" si="287"/>
        <v>0</v>
      </c>
      <c r="BN391" s="167">
        <f t="shared" si="288"/>
        <v>0</v>
      </c>
    </row>
    <row r="392" spans="1:66" s="171" customFormat="1" ht="15.75" hidden="1" customHeight="1" outlineLevel="3" x14ac:dyDescent="0.3">
      <c r="A392" s="169"/>
      <c r="B392" s="164" t="s">
        <v>2592</v>
      </c>
      <c r="C392" s="164" t="s">
        <v>64</v>
      </c>
      <c r="D392" s="164" t="s">
        <v>2845</v>
      </c>
      <c r="E392" s="169" t="s">
        <v>2592</v>
      </c>
      <c r="F392" s="169" t="s">
        <v>3208</v>
      </c>
      <c r="G392" s="169">
        <v>40</v>
      </c>
      <c r="H392" s="169" t="s">
        <v>197</v>
      </c>
      <c r="I392" s="165">
        <f t="shared" si="283"/>
        <v>0</v>
      </c>
      <c r="J392" s="165">
        <f t="shared" si="282"/>
        <v>0</v>
      </c>
      <c r="K392" s="150">
        <f t="shared" si="284"/>
        <v>0</v>
      </c>
      <c r="L392" s="150">
        <f t="shared" si="281"/>
        <v>0</v>
      </c>
      <c r="M392" s="166"/>
      <c r="N392" s="150"/>
      <c r="O392" s="150"/>
      <c r="P392" s="150"/>
      <c r="Q392" s="150"/>
      <c r="R392" s="150"/>
      <c r="S392" s="150"/>
      <c r="T392" s="150"/>
      <c r="U392" s="150"/>
      <c r="V392" s="150"/>
      <c r="W392" s="150"/>
      <c r="X392" s="150"/>
      <c r="Y392" s="150"/>
      <c r="Z392" s="150"/>
      <c r="AA392" s="150"/>
      <c r="AB392" s="150"/>
      <c r="AC392" s="165"/>
      <c r="AD392" s="165"/>
      <c r="AE392" s="165"/>
      <c r="AF392" s="165"/>
      <c r="AG392" s="165"/>
      <c r="AH392" s="165"/>
      <c r="AI392" s="150"/>
      <c r="AJ392" s="150"/>
      <c r="AK392" s="150"/>
      <c r="AL392" s="150"/>
      <c r="AM392" s="150"/>
      <c r="AN392" s="150"/>
      <c r="AO392" s="150"/>
      <c r="AP392" s="150"/>
      <c r="AQ392" s="150"/>
      <c r="AR392" s="150"/>
      <c r="AS392" s="150"/>
      <c r="AT392" s="150"/>
      <c r="AU392" s="150"/>
      <c r="AV392" s="150"/>
      <c r="AW392" s="150"/>
      <c r="AX392" s="150"/>
      <c r="AY392" s="150"/>
      <c r="AZ392" s="150"/>
      <c r="BA392" s="150"/>
      <c r="BB392" s="150"/>
      <c r="BC392" s="170"/>
      <c r="BD392" s="170"/>
      <c r="BE392" s="170"/>
      <c r="BF392" s="170"/>
      <c r="BG392" s="170"/>
      <c r="BH392" s="170"/>
      <c r="BI392" s="170"/>
      <c r="BJ392" s="170"/>
      <c r="BK392" s="167">
        <f t="shared" si="285"/>
        <v>0</v>
      </c>
      <c r="BL392" s="167">
        <f t="shared" si="286"/>
        <v>0</v>
      </c>
      <c r="BM392" s="167">
        <f t="shared" si="287"/>
        <v>0</v>
      </c>
      <c r="BN392" s="167">
        <f t="shared" si="288"/>
        <v>0</v>
      </c>
    </row>
    <row r="393" spans="1:66" s="171" customFormat="1" ht="15.75" hidden="1" customHeight="1" outlineLevel="3" x14ac:dyDescent="0.3">
      <c r="A393" s="169"/>
      <c r="B393" s="164" t="s">
        <v>2592</v>
      </c>
      <c r="C393" s="164" t="s">
        <v>64</v>
      </c>
      <c r="D393" s="164" t="s">
        <v>2845</v>
      </c>
      <c r="E393" s="169" t="s">
        <v>2592</v>
      </c>
      <c r="F393" s="169" t="s">
        <v>3208</v>
      </c>
      <c r="G393" s="169">
        <v>41</v>
      </c>
      <c r="H393" s="169" t="s">
        <v>199</v>
      </c>
      <c r="I393" s="165">
        <f t="shared" si="283"/>
        <v>0</v>
      </c>
      <c r="J393" s="165">
        <f t="shared" si="282"/>
        <v>0</v>
      </c>
      <c r="K393" s="150">
        <f t="shared" si="284"/>
        <v>0</v>
      </c>
      <c r="L393" s="150">
        <f t="shared" si="281"/>
        <v>0</v>
      </c>
      <c r="M393" s="166"/>
      <c r="N393" s="150"/>
      <c r="O393" s="150"/>
      <c r="P393" s="150"/>
      <c r="Q393" s="150"/>
      <c r="R393" s="150"/>
      <c r="S393" s="150"/>
      <c r="T393" s="150"/>
      <c r="U393" s="150"/>
      <c r="V393" s="150"/>
      <c r="W393" s="150"/>
      <c r="X393" s="150"/>
      <c r="Y393" s="150"/>
      <c r="Z393" s="150"/>
      <c r="AA393" s="150"/>
      <c r="AB393" s="150"/>
      <c r="AC393" s="165"/>
      <c r="AD393" s="165"/>
      <c r="AE393" s="165"/>
      <c r="AF393" s="165"/>
      <c r="AG393" s="165"/>
      <c r="AH393" s="165"/>
      <c r="AI393" s="150"/>
      <c r="AJ393" s="150"/>
      <c r="AK393" s="150"/>
      <c r="AL393" s="150"/>
      <c r="AM393" s="150"/>
      <c r="AN393" s="150"/>
      <c r="AO393" s="150"/>
      <c r="AP393" s="150"/>
      <c r="AQ393" s="150"/>
      <c r="AR393" s="150"/>
      <c r="AS393" s="150"/>
      <c r="AT393" s="150"/>
      <c r="AU393" s="150"/>
      <c r="AV393" s="150"/>
      <c r="AW393" s="150"/>
      <c r="AX393" s="150"/>
      <c r="AY393" s="150"/>
      <c r="AZ393" s="150"/>
      <c r="BA393" s="150"/>
      <c r="BB393" s="150"/>
      <c r="BC393" s="170"/>
      <c r="BD393" s="170"/>
      <c r="BE393" s="170"/>
      <c r="BF393" s="170"/>
      <c r="BG393" s="170"/>
      <c r="BH393" s="170"/>
      <c r="BI393" s="170"/>
      <c r="BJ393" s="170"/>
      <c r="BK393" s="167">
        <f t="shared" si="285"/>
        <v>0</v>
      </c>
      <c r="BL393" s="167">
        <f t="shared" si="286"/>
        <v>0</v>
      </c>
      <c r="BM393" s="167">
        <f t="shared" si="287"/>
        <v>0</v>
      </c>
      <c r="BN393" s="167">
        <f t="shared" si="288"/>
        <v>0</v>
      </c>
    </row>
    <row r="394" spans="1:66" s="171" customFormat="1" ht="15.75" hidden="1" customHeight="1" outlineLevel="3" x14ac:dyDescent="0.3">
      <c r="A394" s="169"/>
      <c r="B394" s="164" t="s">
        <v>2592</v>
      </c>
      <c r="C394" s="164" t="s">
        <v>64</v>
      </c>
      <c r="D394" s="164" t="s">
        <v>2845</v>
      </c>
      <c r="E394" s="169" t="s">
        <v>2592</v>
      </c>
      <c r="F394" s="169" t="s">
        <v>3208</v>
      </c>
      <c r="G394" s="169">
        <v>42</v>
      </c>
      <c r="H394" s="169" t="s">
        <v>201</v>
      </c>
      <c r="I394" s="165">
        <f t="shared" si="283"/>
        <v>0</v>
      </c>
      <c r="J394" s="165">
        <f t="shared" si="282"/>
        <v>0</v>
      </c>
      <c r="K394" s="150">
        <f t="shared" si="284"/>
        <v>0</v>
      </c>
      <c r="L394" s="150">
        <f t="shared" si="281"/>
        <v>0</v>
      </c>
      <c r="M394" s="166"/>
      <c r="N394" s="150"/>
      <c r="O394" s="150"/>
      <c r="P394" s="150"/>
      <c r="Q394" s="150"/>
      <c r="R394" s="150"/>
      <c r="S394" s="150"/>
      <c r="T394" s="150"/>
      <c r="U394" s="150"/>
      <c r="V394" s="150"/>
      <c r="W394" s="150"/>
      <c r="X394" s="150"/>
      <c r="Y394" s="150"/>
      <c r="Z394" s="150"/>
      <c r="AA394" s="150"/>
      <c r="AB394" s="150"/>
      <c r="AC394" s="165"/>
      <c r="AD394" s="165"/>
      <c r="AE394" s="165"/>
      <c r="AF394" s="165"/>
      <c r="AG394" s="165"/>
      <c r="AH394" s="165"/>
      <c r="AI394" s="150"/>
      <c r="AJ394" s="150"/>
      <c r="AK394" s="150"/>
      <c r="AL394" s="150"/>
      <c r="AM394" s="150"/>
      <c r="AN394" s="150"/>
      <c r="AO394" s="150"/>
      <c r="AP394" s="150"/>
      <c r="AQ394" s="150"/>
      <c r="AR394" s="150"/>
      <c r="AS394" s="150"/>
      <c r="AT394" s="150"/>
      <c r="AU394" s="150"/>
      <c r="AV394" s="150"/>
      <c r="AW394" s="150"/>
      <c r="AX394" s="150"/>
      <c r="AY394" s="150"/>
      <c r="AZ394" s="150"/>
      <c r="BA394" s="150"/>
      <c r="BB394" s="150"/>
      <c r="BC394" s="170"/>
      <c r="BD394" s="170"/>
      <c r="BE394" s="170"/>
      <c r="BF394" s="170"/>
      <c r="BG394" s="170"/>
      <c r="BH394" s="170"/>
      <c r="BI394" s="170"/>
      <c r="BJ394" s="170"/>
      <c r="BK394" s="167">
        <f t="shared" si="285"/>
        <v>0</v>
      </c>
      <c r="BL394" s="167">
        <f t="shared" si="286"/>
        <v>0</v>
      </c>
      <c r="BM394" s="167">
        <f t="shared" si="287"/>
        <v>0</v>
      </c>
      <c r="BN394" s="167">
        <f t="shared" si="288"/>
        <v>0</v>
      </c>
    </row>
    <row r="395" spans="1:66" s="171" customFormat="1" ht="15.75" hidden="1" customHeight="1" outlineLevel="3" x14ac:dyDescent="0.3">
      <c r="A395" s="169"/>
      <c r="B395" s="164" t="s">
        <v>2592</v>
      </c>
      <c r="C395" s="164" t="s">
        <v>64</v>
      </c>
      <c r="D395" s="164" t="s">
        <v>2845</v>
      </c>
      <c r="E395" s="169" t="s">
        <v>2592</v>
      </c>
      <c r="F395" s="169" t="s">
        <v>3208</v>
      </c>
      <c r="G395" s="169">
        <v>43</v>
      </c>
      <c r="H395" s="169" t="s">
        <v>203</v>
      </c>
      <c r="I395" s="165">
        <f t="shared" si="283"/>
        <v>0</v>
      </c>
      <c r="J395" s="165">
        <f t="shared" ref="J395:J426" si="289">SUM(N395:AO395)</f>
        <v>0</v>
      </c>
      <c r="K395" s="150">
        <f t="shared" si="284"/>
        <v>0</v>
      </c>
      <c r="L395" s="150">
        <f t="shared" ref="L395:L426" si="290">SUM(N395:BJ395)</f>
        <v>0</v>
      </c>
      <c r="M395" s="166"/>
      <c r="N395" s="150"/>
      <c r="O395" s="150"/>
      <c r="P395" s="150"/>
      <c r="Q395" s="150"/>
      <c r="R395" s="150"/>
      <c r="S395" s="150"/>
      <c r="T395" s="150"/>
      <c r="U395" s="150"/>
      <c r="V395" s="150"/>
      <c r="W395" s="150"/>
      <c r="X395" s="150"/>
      <c r="Y395" s="150"/>
      <c r="Z395" s="150"/>
      <c r="AA395" s="150"/>
      <c r="AB395" s="150"/>
      <c r="AC395" s="165"/>
      <c r="AD395" s="165"/>
      <c r="AE395" s="165"/>
      <c r="AF395" s="165"/>
      <c r="AG395" s="165"/>
      <c r="AH395" s="165"/>
      <c r="AI395" s="150"/>
      <c r="AJ395" s="150"/>
      <c r="AK395" s="150"/>
      <c r="AL395" s="150"/>
      <c r="AM395" s="150"/>
      <c r="AN395" s="150"/>
      <c r="AO395" s="150"/>
      <c r="AP395" s="150"/>
      <c r="AQ395" s="150"/>
      <c r="AR395" s="150"/>
      <c r="AS395" s="150"/>
      <c r="AT395" s="150"/>
      <c r="AU395" s="150"/>
      <c r="AV395" s="150"/>
      <c r="AW395" s="150"/>
      <c r="AX395" s="150"/>
      <c r="AY395" s="150"/>
      <c r="AZ395" s="150"/>
      <c r="BA395" s="150"/>
      <c r="BB395" s="150"/>
      <c r="BC395" s="170"/>
      <c r="BD395" s="170"/>
      <c r="BE395" s="170"/>
      <c r="BF395" s="170"/>
      <c r="BG395" s="170"/>
      <c r="BH395" s="170"/>
      <c r="BI395" s="170"/>
      <c r="BJ395" s="170"/>
      <c r="BK395" s="167">
        <f t="shared" si="285"/>
        <v>0</v>
      </c>
      <c r="BL395" s="167">
        <f t="shared" si="286"/>
        <v>0</v>
      </c>
      <c r="BM395" s="167">
        <f t="shared" si="287"/>
        <v>0</v>
      </c>
      <c r="BN395" s="167">
        <f t="shared" si="288"/>
        <v>0</v>
      </c>
    </row>
    <row r="396" spans="1:66" s="171" customFormat="1" ht="15.75" hidden="1" customHeight="1" outlineLevel="3" x14ac:dyDescent="0.3">
      <c r="A396" s="169"/>
      <c r="B396" s="164" t="s">
        <v>2592</v>
      </c>
      <c r="C396" s="164" t="s">
        <v>64</v>
      </c>
      <c r="D396" s="164" t="s">
        <v>2845</v>
      </c>
      <c r="E396" s="169" t="s">
        <v>2592</v>
      </c>
      <c r="F396" s="169" t="s">
        <v>3208</v>
      </c>
      <c r="G396" s="169">
        <v>44</v>
      </c>
      <c r="H396" s="169" t="s">
        <v>205</v>
      </c>
      <c r="I396" s="165">
        <f t="shared" si="283"/>
        <v>0</v>
      </c>
      <c r="J396" s="165">
        <f t="shared" si="289"/>
        <v>0</v>
      </c>
      <c r="K396" s="150">
        <f t="shared" si="284"/>
        <v>0</v>
      </c>
      <c r="L396" s="150">
        <f t="shared" si="290"/>
        <v>0</v>
      </c>
      <c r="M396" s="166"/>
      <c r="N396" s="150"/>
      <c r="O396" s="150"/>
      <c r="P396" s="150"/>
      <c r="Q396" s="150"/>
      <c r="R396" s="150"/>
      <c r="S396" s="150"/>
      <c r="T396" s="150"/>
      <c r="U396" s="150"/>
      <c r="V396" s="150"/>
      <c r="W396" s="150"/>
      <c r="X396" s="150"/>
      <c r="Y396" s="150"/>
      <c r="Z396" s="150"/>
      <c r="AA396" s="150"/>
      <c r="AB396" s="150"/>
      <c r="AC396" s="165"/>
      <c r="AD396" s="165"/>
      <c r="AE396" s="165"/>
      <c r="AF396" s="165"/>
      <c r="AG396" s="165"/>
      <c r="AH396" s="165"/>
      <c r="AI396" s="150"/>
      <c r="AJ396" s="150"/>
      <c r="AK396" s="150"/>
      <c r="AL396" s="150"/>
      <c r="AM396" s="150"/>
      <c r="AN396" s="150"/>
      <c r="AO396" s="150"/>
      <c r="AP396" s="150"/>
      <c r="AQ396" s="150"/>
      <c r="AR396" s="150"/>
      <c r="AS396" s="150"/>
      <c r="AT396" s="150"/>
      <c r="AU396" s="150"/>
      <c r="AV396" s="150"/>
      <c r="AW396" s="150"/>
      <c r="AX396" s="150"/>
      <c r="AY396" s="150"/>
      <c r="AZ396" s="150"/>
      <c r="BA396" s="150"/>
      <c r="BB396" s="150"/>
      <c r="BC396" s="170"/>
      <c r="BD396" s="170"/>
      <c r="BE396" s="170"/>
      <c r="BF396" s="170"/>
      <c r="BG396" s="170"/>
      <c r="BH396" s="170"/>
      <c r="BI396" s="170"/>
      <c r="BJ396" s="170"/>
      <c r="BK396" s="167">
        <f t="shared" si="285"/>
        <v>0</v>
      </c>
      <c r="BL396" s="167">
        <f t="shared" si="286"/>
        <v>0</v>
      </c>
      <c r="BM396" s="167">
        <f t="shared" si="287"/>
        <v>0</v>
      </c>
      <c r="BN396" s="167">
        <f t="shared" si="288"/>
        <v>0</v>
      </c>
    </row>
    <row r="397" spans="1:66" s="171" customFormat="1" ht="15.75" hidden="1" customHeight="1" outlineLevel="3" x14ac:dyDescent="0.3">
      <c r="A397" s="169"/>
      <c r="B397" s="164" t="s">
        <v>2592</v>
      </c>
      <c r="C397" s="164" t="s">
        <v>64</v>
      </c>
      <c r="D397" s="164" t="s">
        <v>2845</v>
      </c>
      <c r="E397" s="169" t="s">
        <v>2592</v>
      </c>
      <c r="F397" s="169" t="s">
        <v>3208</v>
      </c>
      <c r="G397" s="169">
        <v>45</v>
      </c>
      <c r="H397" s="169" t="s">
        <v>207</v>
      </c>
      <c r="I397" s="165">
        <f t="shared" si="283"/>
        <v>0</v>
      </c>
      <c r="J397" s="165">
        <f t="shared" si="289"/>
        <v>0</v>
      </c>
      <c r="K397" s="150">
        <f t="shared" si="284"/>
        <v>0</v>
      </c>
      <c r="L397" s="150">
        <f t="shared" si="290"/>
        <v>0</v>
      </c>
      <c r="M397" s="166"/>
      <c r="N397" s="150"/>
      <c r="O397" s="150"/>
      <c r="P397" s="150"/>
      <c r="Q397" s="150"/>
      <c r="R397" s="150"/>
      <c r="S397" s="150"/>
      <c r="T397" s="150"/>
      <c r="U397" s="150"/>
      <c r="V397" s="150"/>
      <c r="W397" s="150"/>
      <c r="X397" s="150"/>
      <c r="Y397" s="150"/>
      <c r="Z397" s="150"/>
      <c r="AA397" s="150"/>
      <c r="AB397" s="150"/>
      <c r="AC397" s="165"/>
      <c r="AD397" s="165"/>
      <c r="AE397" s="165"/>
      <c r="AF397" s="165"/>
      <c r="AG397" s="165"/>
      <c r="AH397" s="165"/>
      <c r="AI397" s="150"/>
      <c r="AJ397" s="150"/>
      <c r="AK397" s="150"/>
      <c r="AL397" s="150"/>
      <c r="AM397" s="150"/>
      <c r="AN397" s="150"/>
      <c r="AO397" s="150"/>
      <c r="AP397" s="150"/>
      <c r="AQ397" s="150"/>
      <c r="AR397" s="150"/>
      <c r="AS397" s="150"/>
      <c r="AT397" s="150"/>
      <c r="AU397" s="150"/>
      <c r="AV397" s="150"/>
      <c r="AW397" s="150"/>
      <c r="AX397" s="150"/>
      <c r="AY397" s="150"/>
      <c r="AZ397" s="150"/>
      <c r="BA397" s="150"/>
      <c r="BB397" s="150"/>
      <c r="BC397" s="170"/>
      <c r="BD397" s="170"/>
      <c r="BE397" s="170"/>
      <c r="BF397" s="170"/>
      <c r="BG397" s="170"/>
      <c r="BH397" s="170"/>
      <c r="BI397" s="170"/>
      <c r="BJ397" s="170"/>
      <c r="BK397" s="167">
        <f t="shared" si="285"/>
        <v>0</v>
      </c>
      <c r="BL397" s="167">
        <f t="shared" si="286"/>
        <v>0</v>
      </c>
      <c r="BM397" s="167">
        <f t="shared" si="287"/>
        <v>0</v>
      </c>
      <c r="BN397" s="167">
        <f t="shared" si="288"/>
        <v>0</v>
      </c>
    </row>
    <row r="398" spans="1:66" s="171" customFormat="1" ht="15.75" hidden="1" customHeight="1" outlineLevel="3" x14ac:dyDescent="0.3">
      <c r="A398" s="169"/>
      <c r="B398" s="164" t="s">
        <v>2592</v>
      </c>
      <c r="C398" s="164" t="s">
        <v>64</v>
      </c>
      <c r="D398" s="164" t="s">
        <v>2845</v>
      </c>
      <c r="E398" s="169" t="s">
        <v>2592</v>
      </c>
      <c r="F398" s="169" t="s">
        <v>3208</v>
      </c>
      <c r="G398" s="169">
        <v>47</v>
      </c>
      <c r="H398" s="169" t="s">
        <v>211</v>
      </c>
      <c r="I398" s="165">
        <f t="shared" si="283"/>
        <v>0</v>
      </c>
      <c r="J398" s="165">
        <f t="shared" si="289"/>
        <v>0</v>
      </c>
      <c r="K398" s="150">
        <f t="shared" si="284"/>
        <v>0</v>
      </c>
      <c r="L398" s="150">
        <f t="shared" si="290"/>
        <v>0</v>
      </c>
      <c r="M398" s="166"/>
      <c r="N398" s="150"/>
      <c r="O398" s="150"/>
      <c r="P398" s="150"/>
      <c r="Q398" s="150"/>
      <c r="R398" s="150"/>
      <c r="S398" s="150"/>
      <c r="T398" s="150"/>
      <c r="U398" s="150"/>
      <c r="V398" s="150"/>
      <c r="W398" s="150"/>
      <c r="X398" s="150"/>
      <c r="Y398" s="150"/>
      <c r="Z398" s="150"/>
      <c r="AA398" s="150"/>
      <c r="AB398" s="150"/>
      <c r="AC398" s="165"/>
      <c r="AD398" s="165"/>
      <c r="AE398" s="165"/>
      <c r="AF398" s="165"/>
      <c r="AG398" s="165"/>
      <c r="AH398" s="165"/>
      <c r="AI398" s="150"/>
      <c r="AJ398" s="150"/>
      <c r="AK398" s="150"/>
      <c r="AL398" s="150"/>
      <c r="AM398" s="150"/>
      <c r="AN398" s="150"/>
      <c r="AO398" s="150"/>
      <c r="AP398" s="150"/>
      <c r="AQ398" s="150"/>
      <c r="AR398" s="150"/>
      <c r="AS398" s="150"/>
      <c r="AT398" s="150"/>
      <c r="AU398" s="150"/>
      <c r="AV398" s="150"/>
      <c r="AW398" s="150"/>
      <c r="AX398" s="150"/>
      <c r="AY398" s="150"/>
      <c r="AZ398" s="150"/>
      <c r="BA398" s="150"/>
      <c r="BB398" s="150"/>
      <c r="BC398" s="170"/>
      <c r="BD398" s="170"/>
      <c r="BE398" s="170"/>
      <c r="BF398" s="170"/>
      <c r="BG398" s="170"/>
      <c r="BH398" s="170"/>
      <c r="BI398" s="170"/>
      <c r="BJ398" s="170"/>
      <c r="BK398" s="167">
        <f t="shared" si="285"/>
        <v>0</v>
      </c>
      <c r="BL398" s="167">
        <f t="shared" si="286"/>
        <v>0</v>
      </c>
      <c r="BM398" s="167">
        <f t="shared" si="287"/>
        <v>0</v>
      </c>
      <c r="BN398" s="167">
        <f t="shared" si="288"/>
        <v>0</v>
      </c>
    </row>
    <row r="399" spans="1:66" s="171" customFormat="1" ht="15.75" hidden="1" customHeight="1" outlineLevel="3" x14ac:dyDescent="0.3">
      <c r="A399" s="169"/>
      <c r="B399" s="164" t="s">
        <v>2592</v>
      </c>
      <c r="C399" s="164" t="s">
        <v>64</v>
      </c>
      <c r="D399" s="164" t="s">
        <v>2845</v>
      </c>
      <c r="E399" s="169" t="s">
        <v>2592</v>
      </c>
      <c r="F399" s="169" t="s">
        <v>3208</v>
      </c>
      <c r="G399" s="169">
        <v>48</v>
      </c>
      <c r="H399" s="169" t="s">
        <v>213</v>
      </c>
      <c r="I399" s="165">
        <f t="shared" si="283"/>
        <v>0</v>
      </c>
      <c r="J399" s="165">
        <f t="shared" si="289"/>
        <v>0</v>
      </c>
      <c r="K399" s="150">
        <f t="shared" si="284"/>
        <v>0</v>
      </c>
      <c r="L399" s="150">
        <f t="shared" si="290"/>
        <v>0</v>
      </c>
      <c r="M399" s="166"/>
      <c r="N399" s="150"/>
      <c r="O399" s="150"/>
      <c r="P399" s="150"/>
      <c r="Q399" s="150"/>
      <c r="R399" s="150"/>
      <c r="S399" s="150"/>
      <c r="T399" s="150"/>
      <c r="U399" s="150"/>
      <c r="V399" s="150"/>
      <c r="W399" s="150"/>
      <c r="X399" s="150"/>
      <c r="Y399" s="150"/>
      <c r="Z399" s="150"/>
      <c r="AA399" s="150"/>
      <c r="AB399" s="150"/>
      <c r="AC399" s="165"/>
      <c r="AD399" s="165"/>
      <c r="AE399" s="165"/>
      <c r="AF399" s="165"/>
      <c r="AG399" s="165"/>
      <c r="AH399" s="165"/>
      <c r="AI399" s="150"/>
      <c r="AJ399" s="150"/>
      <c r="AK399" s="150"/>
      <c r="AL399" s="150"/>
      <c r="AM399" s="150"/>
      <c r="AN399" s="150"/>
      <c r="AO399" s="150"/>
      <c r="AP399" s="150"/>
      <c r="AQ399" s="150"/>
      <c r="AR399" s="150"/>
      <c r="AS399" s="150"/>
      <c r="AT399" s="150"/>
      <c r="AU399" s="150"/>
      <c r="AV399" s="150"/>
      <c r="AW399" s="150"/>
      <c r="AX399" s="150"/>
      <c r="AY399" s="150"/>
      <c r="AZ399" s="150"/>
      <c r="BA399" s="150"/>
      <c r="BB399" s="150"/>
      <c r="BC399" s="170"/>
      <c r="BD399" s="170"/>
      <c r="BE399" s="170"/>
      <c r="BF399" s="170"/>
      <c r="BG399" s="170"/>
      <c r="BH399" s="170"/>
      <c r="BI399" s="170"/>
      <c r="BJ399" s="170"/>
      <c r="BK399" s="167">
        <f t="shared" si="285"/>
        <v>0</v>
      </c>
      <c r="BL399" s="167">
        <f t="shared" si="286"/>
        <v>0</v>
      </c>
      <c r="BM399" s="167">
        <f t="shared" si="287"/>
        <v>0</v>
      </c>
      <c r="BN399" s="167">
        <f t="shared" si="288"/>
        <v>0</v>
      </c>
    </row>
    <row r="400" spans="1:66" s="171" customFormat="1" ht="15.75" hidden="1" customHeight="1" outlineLevel="3" x14ac:dyDescent="0.3">
      <c r="A400" s="169"/>
      <c r="B400" s="164" t="s">
        <v>2592</v>
      </c>
      <c r="C400" s="164" t="s">
        <v>64</v>
      </c>
      <c r="D400" s="164" t="s">
        <v>2845</v>
      </c>
      <c r="E400" s="169" t="s">
        <v>2592</v>
      </c>
      <c r="F400" s="169" t="s">
        <v>3208</v>
      </c>
      <c r="G400" s="169">
        <v>49</v>
      </c>
      <c r="H400" s="169" t="s">
        <v>215</v>
      </c>
      <c r="I400" s="165">
        <f t="shared" si="283"/>
        <v>0</v>
      </c>
      <c r="J400" s="165">
        <f t="shared" si="289"/>
        <v>0</v>
      </c>
      <c r="K400" s="150">
        <f t="shared" si="284"/>
        <v>0</v>
      </c>
      <c r="L400" s="150">
        <f t="shared" si="290"/>
        <v>0</v>
      </c>
      <c r="M400" s="166"/>
      <c r="N400" s="150"/>
      <c r="O400" s="150"/>
      <c r="P400" s="150"/>
      <c r="Q400" s="150"/>
      <c r="R400" s="150"/>
      <c r="S400" s="150"/>
      <c r="T400" s="150"/>
      <c r="U400" s="150"/>
      <c r="V400" s="150"/>
      <c r="W400" s="150"/>
      <c r="X400" s="150"/>
      <c r="Y400" s="150"/>
      <c r="Z400" s="150"/>
      <c r="AA400" s="150"/>
      <c r="AB400" s="150"/>
      <c r="AC400" s="165"/>
      <c r="AD400" s="165"/>
      <c r="AE400" s="165"/>
      <c r="AF400" s="165"/>
      <c r="AG400" s="165"/>
      <c r="AH400" s="165"/>
      <c r="AI400" s="150"/>
      <c r="AJ400" s="150"/>
      <c r="AK400" s="150"/>
      <c r="AL400" s="150"/>
      <c r="AM400" s="150"/>
      <c r="AN400" s="150"/>
      <c r="AO400" s="150"/>
      <c r="AP400" s="150"/>
      <c r="AQ400" s="150"/>
      <c r="AR400" s="150"/>
      <c r="AS400" s="150"/>
      <c r="AT400" s="150"/>
      <c r="AU400" s="150"/>
      <c r="AV400" s="150"/>
      <c r="AW400" s="150"/>
      <c r="AX400" s="150"/>
      <c r="AY400" s="150"/>
      <c r="AZ400" s="150"/>
      <c r="BA400" s="150"/>
      <c r="BB400" s="150"/>
      <c r="BC400" s="170"/>
      <c r="BD400" s="170"/>
      <c r="BE400" s="170"/>
      <c r="BF400" s="170"/>
      <c r="BG400" s="170"/>
      <c r="BH400" s="170"/>
      <c r="BI400" s="170"/>
      <c r="BJ400" s="170"/>
      <c r="BK400" s="167">
        <f t="shared" si="285"/>
        <v>0</v>
      </c>
      <c r="BL400" s="167">
        <f t="shared" si="286"/>
        <v>0</v>
      </c>
      <c r="BM400" s="167">
        <f t="shared" si="287"/>
        <v>0</v>
      </c>
      <c r="BN400" s="167">
        <f t="shared" si="288"/>
        <v>0</v>
      </c>
    </row>
    <row r="401" spans="1:66" s="171" customFormat="1" ht="15.75" hidden="1" customHeight="1" outlineLevel="3" x14ac:dyDescent="0.3">
      <c r="A401" s="169"/>
      <c r="B401" s="164" t="s">
        <v>2592</v>
      </c>
      <c r="C401" s="164" t="s">
        <v>64</v>
      </c>
      <c r="D401" s="164" t="s">
        <v>2845</v>
      </c>
      <c r="E401" s="169" t="s">
        <v>2592</v>
      </c>
      <c r="F401" s="169" t="s">
        <v>3208</v>
      </c>
      <c r="G401" s="169">
        <v>50</v>
      </c>
      <c r="H401" s="169" t="s">
        <v>217</v>
      </c>
      <c r="I401" s="165">
        <f t="shared" si="283"/>
        <v>0</v>
      </c>
      <c r="J401" s="165">
        <f t="shared" si="289"/>
        <v>0</v>
      </c>
      <c r="K401" s="150">
        <f t="shared" si="284"/>
        <v>0</v>
      </c>
      <c r="L401" s="150">
        <f t="shared" si="290"/>
        <v>0</v>
      </c>
      <c r="M401" s="166"/>
      <c r="N401" s="150"/>
      <c r="O401" s="150"/>
      <c r="P401" s="150"/>
      <c r="Q401" s="150"/>
      <c r="R401" s="150"/>
      <c r="S401" s="150"/>
      <c r="T401" s="150"/>
      <c r="U401" s="150"/>
      <c r="V401" s="150"/>
      <c r="W401" s="150"/>
      <c r="X401" s="150"/>
      <c r="Y401" s="150"/>
      <c r="Z401" s="150"/>
      <c r="AA401" s="150"/>
      <c r="AB401" s="150"/>
      <c r="AC401" s="165"/>
      <c r="AD401" s="165"/>
      <c r="AE401" s="165"/>
      <c r="AF401" s="165"/>
      <c r="AG401" s="165"/>
      <c r="AH401" s="165"/>
      <c r="AI401" s="150"/>
      <c r="AJ401" s="150"/>
      <c r="AK401" s="150"/>
      <c r="AL401" s="150"/>
      <c r="AM401" s="150"/>
      <c r="AN401" s="150"/>
      <c r="AO401" s="150"/>
      <c r="AP401" s="150"/>
      <c r="AQ401" s="150"/>
      <c r="AR401" s="150"/>
      <c r="AS401" s="150"/>
      <c r="AT401" s="150"/>
      <c r="AU401" s="150"/>
      <c r="AV401" s="150"/>
      <c r="AW401" s="150"/>
      <c r="AX401" s="150"/>
      <c r="AY401" s="150"/>
      <c r="AZ401" s="150"/>
      <c r="BA401" s="150"/>
      <c r="BB401" s="150"/>
      <c r="BC401" s="170"/>
      <c r="BD401" s="170"/>
      <c r="BE401" s="170"/>
      <c r="BF401" s="170"/>
      <c r="BG401" s="170"/>
      <c r="BH401" s="170"/>
      <c r="BI401" s="170"/>
      <c r="BJ401" s="170"/>
      <c r="BK401" s="167">
        <f t="shared" si="285"/>
        <v>0</v>
      </c>
      <c r="BL401" s="167">
        <f t="shared" si="286"/>
        <v>0</v>
      </c>
      <c r="BM401" s="167">
        <f t="shared" si="287"/>
        <v>0</v>
      </c>
      <c r="BN401" s="167">
        <f t="shared" si="288"/>
        <v>0</v>
      </c>
    </row>
    <row r="402" spans="1:66" s="171" customFormat="1" ht="15.75" hidden="1" customHeight="1" outlineLevel="3" x14ac:dyDescent="0.3">
      <c r="A402" s="169"/>
      <c r="B402" s="164" t="s">
        <v>2592</v>
      </c>
      <c r="C402" s="164" t="s">
        <v>64</v>
      </c>
      <c r="D402" s="164" t="s">
        <v>2845</v>
      </c>
      <c r="E402" s="169" t="s">
        <v>2592</v>
      </c>
      <c r="F402" s="169" t="s">
        <v>3208</v>
      </c>
      <c r="G402" s="169">
        <v>51</v>
      </c>
      <c r="H402" s="169" t="s">
        <v>219</v>
      </c>
      <c r="I402" s="165">
        <f t="shared" si="283"/>
        <v>0</v>
      </c>
      <c r="J402" s="165">
        <f t="shared" si="289"/>
        <v>0</v>
      </c>
      <c r="K402" s="150">
        <f t="shared" si="284"/>
        <v>0</v>
      </c>
      <c r="L402" s="150">
        <f t="shared" si="290"/>
        <v>0</v>
      </c>
      <c r="M402" s="166"/>
      <c r="N402" s="150"/>
      <c r="O402" s="150"/>
      <c r="P402" s="150"/>
      <c r="Q402" s="150"/>
      <c r="R402" s="150"/>
      <c r="S402" s="150"/>
      <c r="T402" s="150"/>
      <c r="U402" s="150"/>
      <c r="V402" s="150"/>
      <c r="W402" s="150"/>
      <c r="X402" s="150"/>
      <c r="Y402" s="150"/>
      <c r="Z402" s="150"/>
      <c r="AA402" s="150"/>
      <c r="AB402" s="150"/>
      <c r="AC402" s="165"/>
      <c r="AD402" s="165"/>
      <c r="AE402" s="165"/>
      <c r="AF402" s="165"/>
      <c r="AG402" s="165"/>
      <c r="AH402" s="165"/>
      <c r="AI402" s="150"/>
      <c r="AJ402" s="150"/>
      <c r="AK402" s="150"/>
      <c r="AL402" s="150"/>
      <c r="AM402" s="150"/>
      <c r="AN402" s="150"/>
      <c r="AO402" s="150"/>
      <c r="AP402" s="150"/>
      <c r="AQ402" s="150"/>
      <c r="AR402" s="150"/>
      <c r="AS402" s="150"/>
      <c r="AT402" s="150"/>
      <c r="AU402" s="150"/>
      <c r="AV402" s="150"/>
      <c r="AW402" s="150"/>
      <c r="AX402" s="150"/>
      <c r="AY402" s="150"/>
      <c r="AZ402" s="150"/>
      <c r="BA402" s="150"/>
      <c r="BB402" s="150"/>
      <c r="BC402" s="170"/>
      <c r="BD402" s="170"/>
      <c r="BE402" s="170"/>
      <c r="BF402" s="170"/>
      <c r="BG402" s="170"/>
      <c r="BH402" s="170"/>
      <c r="BI402" s="170"/>
      <c r="BJ402" s="170"/>
      <c r="BK402" s="167">
        <f t="shared" si="285"/>
        <v>0</v>
      </c>
      <c r="BL402" s="167">
        <f t="shared" si="286"/>
        <v>0</v>
      </c>
      <c r="BM402" s="167">
        <f t="shared" si="287"/>
        <v>0</v>
      </c>
      <c r="BN402" s="167">
        <f t="shared" si="288"/>
        <v>0</v>
      </c>
    </row>
    <row r="403" spans="1:66" s="171" customFormat="1" ht="15.75" hidden="1" customHeight="1" outlineLevel="3" x14ac:dyDescent="0.3">
      <c r="A403" s="169"/>
      <c r="B403" s="164" t="s">
        <v>2592</v>
      </c>
      <c r="C403" s="164" t="s">
        <v>64</v>
      </c>
      <c r="D403" s="164" t="s">
        <v>2845</v>
      </c>
      <c r="E403" s="169" t="s">
        <v>2592</v>
      </c>
      <c r="F403" s="169" t="s">
        <v>3208</v>
      </c>
      <c r="G403" s="169">
        <v>52</v>
      </c>
      <c r="H403" s="169" t="s">
        <v>221</v>
      </c>
      <c r="I403" s="165">
        <f t="shared" si="283"/>
        <v>0</v>
      </c>
      <c r="J403" s="165">
        <f t="shared" si="289"/>
        <v>0</v>
      </c>
      <c r="K403" s="150">
        <f t="shared" si="284"/>
        <v>0</v>
      </c>
      <c r="L403" s="150">
        <f t="shared" si="290"/>
        <v>0</v>
      </c>
      <c r="M403" s="166"/>
      <c r="N403" s="150"/>
      <c r="O403" s="150"/>
      <c r="P403" s="150"/>
      <c r="Q403" s="150"/>
      <c r="R403" s="150"/>
      <c r="S403" s="150"/>
      <c r="T403" s="150"/>
      <c r="U403" s="150"/>
      <c r="V403" s="150"/>
      <c r="W403" s="150"/>
      <c r="X403" s="150"/>
      <c r="Y403" s="150"/>
      <c r="Z403" s="150"/>
      <c r="AA403" s="150"/>
      <c r="AB403" s="150"/>
      <c r="AC403" s="165"/>
      <c r="AD403" s="165"/>
      <c r="AE403" s="165"/>
      <c r="AF403" s="165"/>
      <c r="AG403" s="165"/>
      <c r="AH403" s="165"/>
      <c r="AI403" s="150"/>
      <c r="AJ403" s="150"/>
      <c r="AK403" s="150"/>
      <c r="AL403" s="150"/>
      <c r="AM403" s="150"/>
      <c r="AN403" s="150"/>
      <c r="AO403" s="150"/>
      <c r="AP403" s="150"/>
      <c r="AQ403" s="150"/>
      <c r="AR403" s="150"/>
      <c r="AS403" s="150"/>
      <c r="AT403" s="150"/>
      <c r="AU403" s="150"/>
      <c r="AV403" s="150"/>
      <c r="AW403" s="150"/>
      <c r="AX403" s="150"/>
      <c r="AY403" s="150"/>
      <c r="AZ403" s="150"/>
      <c r="BA403" s="150"/>
      <c r="BB403" s="150"/>
      <c r="BC403" s="170"/>
      <c r="BD403" s="170"/>
      <c r="BE403" s="170"/>
      <c r="BF403" s="170"/>
      <c r="BG403" s="170"/>
      <c r="BH403" s="170"/>
      <c r="BI403" s="170"/>
      <c r="BJ403" s="170"/>
      <c r="BK403" s="167">
        <f t="shared" si="285"/>
        <v>0</v>
      </c>
      <c r="BL403" s="167">
        <f t="shared" si="286"/>
        <v>0</v>
      </c>
      <c r="BM403" s="167">
        <f t="shared" si="287"/>
        <v>0</v>
      </c>
      <c r="BN403" s="167">
        <f t="shared" si="288"/>
        <v>0</v>
      </c>
    </row>
    <row r="404" spans="1:66" s="171" customFormat="1" ht="15.75" hidden="1" customHeight="1" outlineLevel="3" x14ac:dyDescent="0.3">
      <c r="A404" s="169"/>
      <c r="B404" s="164" t="s">
        <v>2592</v>
      </c>
      <c r="C404" s="164" t="s">
        <v>64</v>
      </c>
      <c r="D404" s="164" t="s">
        <v>2845</v>
      </c>
      <c r="E404" s="169" t="s">
        <v>2592</v>
      </c>
      <c r="F404" s="169" t="s">
        <v>3208</v>
      </c>
      <c r="G404" s="169">
        <v>53</v>
      </c>
      <c r="H404" s="169" t="s">
        <v>223</v>
      </c>
      <c r="I404" s="165">
        <f t="shared" si="283"/>
        <v>0</v>
      </c>
      <c r="J404" s="165">
        <f t="shared" si="289"/>
        <v>0</v>
      </c>
      <c r="K404" s="150">
        <f t="shared" si="284"/>
        <v>0</v>
      </c>
      <c r="L404" s="150">
        <f t="shared" si="290"/>
        <v>0</v>
      </c>
      <c r="M404" s="166"/>
      <c r="N404" s="150"/>
      <c r="O404" s="150"/>
      <c r="P404" s="150"/>
      <c r="Q404" s="150"/>
      <c r="R404" s="150"/>
      <c r="S404" s="150"/>
      <c r="T404" s="150"/>
      <c r="U404" s="150"/>
      <c r="V404" s="150"/>
      <c r="W404" s="150"/>
      <c r="X404" s="150"/>
      <c r="Y404" s="150"/>
      <c r="Z404" s="150"/>
      <c r="AA404" s="150"/>
      <c r="AB404" s="150"/>
      <c r="AC404" s="165"/>
      <c r="AD404" s="165"/>
      <c r="AE404" s="165"/>
      <c r="AF404" s="165"/>
      <c r="AG404" s="165"/>
      <c r="AH404" s="165"/>
      <c r="AI404" s="150"/>
      <c r="AJ404" s="150"/>
      <c r="AK404" s="150"/>
      <c r="AL404" s="150"/>
      <c r="AM404" s="150"/>
      <c r="AN404" s="150"/>
      <c r="AO404" s="150"/>
      <c r="AP404" s="150"/>
      <c r="AQ404" s="150"/>
      <c r="AR404" s="150"/>
      <c r="AS404" s="150"/>
      <c r="AT404" s="150"/>
      <c r="AU404" s="150"/>
      <c r="AV404" s="150"/>
      <c r="AW404" s="150"/>
      <c r="AX404" s="150"/>
      <c r="AY404" s="150"/>
      <c r="AZ404" s="150"/>
      <c r="BA404" s="150"/>
      <c r="BB404" s="150"/>
      <c r="BC404" s="170"/>
      <c r="BD404" s="170"/>
      <c r="BE404" s="170"/>
      <c r="BF404" s="170"/>
      <c r="BG404" s="170"/>
      <c r="BH404" s="170"/>
      <c r="BI404" s="170"/>
      <c r="BJ404" s="170"/>
      <c r="BK404" s="167">
        <f t="shared" si="285"/>
        <v>0</v>
      </c>
      <c r="BL404" s="167">
        <f t="shared" si="286"/>
        <v>0</v>
      </c>
      <c r="BM404" s="167">
        <f t="shared" si="287"/>
        <v>0</v>
      </c>
      <c r="BN404" s="167">
        <f t="shared" si="288"/>
        <v>0</v>
      </c>
    </row>
    <row r="405" spans="1:66" s="171" customFormat="1" ht="15.75" hidden="1" customHeight="1" outlineLevel="3" x14ac:dyDescent="0.3">
      <c r="A405" s="169"/>
      <c r="B405" s="164" t="s">
        <v>2592</v>
      </c>
      <c r="C405" s="164" t="s">
        <v>64</v>
      </c>
      <c r="D405" s="164" t="s">
        <v>2845</v>
      </c>
      <c r="E405" s="169" t="s">
        <v>2592</v>
      </c>
      <c r="F405" s="169" t="s">
        <v>3208</v>
      </c>
      <c r="G405" s="169">
        <v>54</v>
      </c>
      <c r="H405" s="169" t="s">
        <v>225</v>
      </c>
      <c r="I405" s="165">
        <f t="shared" si="283"/>
        <v>0</v>
      </c>
      <c r="J405" s="165">
        <f t="shared" si="289"/>
        <v>0</v>
      </c>
      <c r="K405" s="150">
        <f t="shared" si="284"/>
        <v>0</v>
      </c>
      <c r="L405" s="150">
        <f t="shared" si="290"/>
        <v>0</v>
      </c>
      <c r="M405" s="166"/>
      <c r="N405" s="150"/>
      <c r="O405" s="150"/>
      <c r="P405" s="150"/>
      <c r="Q405" s="150"/>
      <c r="R405" s="150"/>
      <c r="S405" s="150"/>
      <c r="T405" s="150"/>
      <c r="U405" s="150"/>
      <c r="V405" s="150"/>
      <c r="W405" s="150"/>
      <c r="X405" s="150"/>
      <c r="Y405" s="150"/>
      <c r="Z405" s="150"/>
      <c r="AA405" s="150"/>
      <c r="AB405" s="150"/>
      <c r="AC405" s="165"/>
      <c r="AD405" s="165"/>
      <c r="AE405" s="165"/>
      <c r="AF405" s="165"/>
      <c r="AG405" s="165"/>
      <c r="AH405" s="165"/>
      <c r="AI405" s="150"/>
      <c r="AJ405" s="150"/>
      <c r="AK405" s="150"/>
      <c r="AL405" s="150"/>
      <c r="AM405" s="150"/>
      <c r="AN405" s="150"/>
      <c r="AO405" s="150"/>
      <c r="AP405" s="150"/>
      <c r="AQ405" s="150"/>
      <c r="AR405" s="150"/>
      <c r="AS405" s="150"/>
      <c r="AT405" s="150"/>
      <c r="AU405" s="150"/>
      <c r="AV405" s="150"/>
      <c r="AW405" s="150"/>
      <c r="AX405" s="150"/>
      <c r="AY405" s="150"/>
      <c r="AZ405" s="150"/>
      <c r="BA405" s="150"/>
      <c r="BB405" s="150"/>
      <c r="BC405" s="170"/>
      <c r="BD405" s="170"/>
      <c r="BE405" s="170"/>
      <c r="BF405" s="170"/>
      <c r="BG405" s="170"/>
      <c r="BH405" s="170"/>
      <c r="BI405" s="170"/>
      <c r="BJ405" s="170"/>
      <c r="BK405" s="167">
        <f t="shared" si="285"/>
        <v>0</v>
      </c>
      <c r="BL405" s="167">
        <f t="shared" si="286"/>
        <v>0</v>
      </c>
      <c r="BM405" s="167">
        <f t="shared" si="287"/>
        <v>0</v>
      </c>
      <c r="BN405" s="167">
        <f t="shared" si="288"/>
        <v>0</v>
      </c>
    </row>
    <row r="406" spans="1:66" s="171" customFormat="1" ht="15.75" hidden="1" customHeight="1" outlineLevel="3" x14ac:dyDescent="0.3">
      <c r="A406" s="169"/>
      <c r="B406" s="164" t="s">
        <v>2592</v>
      </c>
      <c r="C406" s="164" t="s">
        <v>64</v>
      </c>
      <c r="D406" s="164" t="s">
        <v>2845</v>
      </c>
      <c r="E406" s="169" t="s">
        <v>2592</v>
      </c>
      <c r="F406" s="169" t="s">
        <v>3208</v>
      </c>
      <c r="G406" s="169">
        <v>55</v>
      </c>
      <c r="H406" s="169" t="s">
        <v>227</v>
      </c>
      <c r="I406" s="165">
        <f t="shared" si="283"/>
        <v>0</v>
      </c>
      <c r="J406" s="165">
        <f t="shared" si="289"/>
        <v>0</v>
      </c>
      <c r="K406" s="150">
        <f t="shared" si="284"/>
        <v>0</v>
      </c>
      <c r="L406" s="150">
        <f t="shared" si="290"/>
        <v>0</v>
      </c>
      <c r="M406" s="166"/>
      <c r="N406" s="150"/>
      <c r="O406" s="150"/>
      <c r="P406" s="150"/>
      <c r="Q406" s="150"/>
      <c r="R406" s="150"/>
      <c r="S406" s="150"/>
      <c r="T406" s="150"/>
      <c r="U406" s="150"/>
      <c r="V406" s="150"/>
      <c r="W406" s="150"/>
      <c r="X406" s="150"/>
      <c r="Y406" s="150"/>
      <c r="Z406" s="150"/>
      <c r="AA406" s="150"/>
      <c r="AB406" s="150"/>
      <c r="AC406" s="165"/>
      <c r="AD406" s="165"/>
      <c r="AE406" s="165"/>
      <c r="AF406" s="165"/>
      <c r="AG406" s="165"/>
      <c r="AH406" s="165"/>
      <c r="AI406" s="150"/>
      <c r="AJ406" s="150"/>
      <c r="AK406" s="150"/>
      <c r="AL406" s="150"/>
      <c r="AM406" s="150"/>
      <c r="AN406" s="150"/>
      <c r="AO406" s="150"/>
      <c r="AP406" s="150"/>
      <c r="AQ406" s="150"/>
      <c r="AR406" s="150"/>
      <c r="AS406" s="150"/>
      <c r="AT406" s="150"/>
      <c r="AU406" s="150"/>
      <c r="AV406" s="150"/>
      <c r="AW406" s="150"/>
      <c r="AX406" s="150"/>
      <c r="AY406" s="150"/>
      <c r="AZ406" s="150"/>
      <c r="BA406" s="150"/>
      <c r="BB406" s="150"/>
      <c r="BC406" s="170"/>
      <c r="BD406" s="170"/>
      <c r="BE406" s="170"/>
      <c r="BF406" s="170"/>
      <c r="BG406" s="170"/>
      <c r="BH406" s="170"/>
      <c r="BI406" s="170"/>
      <c r="BJ406" s="170"/>
      <c r="BK406" s="167">
        <f t="shared" si="285"/>
        <v>0</v>
      </c>
      <c r="BL406" s="167">
        <f t="shared" si="286"/>
        <v>0</v>
      </c>
      <c r="BM406" s="167">
        <f t="shared" si="287"/>
        <v>0</v>
      </c>
      <c r="BN406" s="167">
        <f t="shared" si="288"/>
        <v>0</v>
      </c>
    </row>
    <row r="407" spans="1:66" s="171" customFormat="1" ht="15.75" hidden="1" customHeight="1" outlineLevel="3" x14ac:dyDescent="0.3">
      <c r="A407" s="169"/>
      <c r="B407" s="164" t="s">
        <v>2592</v>
      </c>
      <c r="C407" s="164" t="s">
        <v>64</v>
      </c>
      <c r="D407" s="164" t="s">
        <v>2845</v>
      </c>
      <c r="E407" s="169" t="s">
        <v>2592</v>
      </c>
      <c r="F407" s="169" t="s">
        <v>3208</v>
      </c>
      <c r="G407" s="169">
        <v>56</v>
      </c>
      <c r="H407" s="169" t="s">
        <v>228</v>
      </c>
      <c r="I407" s="165">
        <f t="shared" si="283"/>
        <v>0</v>
      </c>
      <c r="J407" s="165">
        <f t="shared" si="289"/>
        <v>0</v>
      </c>
      <c r="K407" s="150">
        <f t="shared" si="284"/>
        <v>0</v>
      </c>
      <c r="L407" s="150">
        <f t="shared" si="290"/>
        <v>0</v>
      </c>
      <c r="M407" s="166"/>
      <c r="N407" s="150"/>
      <c r="O407" s="150"/>
      <c r="P407" s="150"/>
      <c r="Q407" s="150"/>
      <c r="R407" s="150"/>
      <c r="S407" s="150"/>
      <c r="T407" s="150"/>
      <c r="U407" s="150"/>
      <c r="V407" s="150"/>
      <c r="W407" s="150"/>
      <c r="X407" s="150"/>
      <c r="Y407" s="150"/>
      <c r="Z407" s="150"/>
      <c r="AA407" s="150"/>
      <c r="AB407" s="150"/>
      <c r="AC407" s="165"/>
      <c r="AD407" s="165"/>
      <c r="AE407" s="165"/>
      <c r="AF407" s="165"/>
      <c r="AG407" s="165"/>
      <c r="AH407" s="165"/>
      <c r="AI407" s="150"/>
      <c r="AJ407" s="150"/>
      <c r="AK407" s="150"/>
      <c r="AL407" s="150"/>
      <c r="AM407" s="150"/>
      <c r="AN407" s="150"/>
      <c r="AO407" s="150"/>
      <c r="AP407" s="150"/>
      <c r="AQ407" s="150"/>
      <c r="AR407" s="150"/>
      <c r="AS407" s="150"/>
      <c r="AT407" s="150"/>
      <c r="AU407" s="150"/>
      <c r="AV407" s="150"/>
      <c r="AW407" s="150"/>
      <c r="AX407" s="150"/>
      <c r="AY407" s="150"/>
      <c r="AZ407" s="150"/>
      <c r="BA407" s="150"/>
      <c r="BB407" s="150"/>
      <c r="BC407" s="170"/>
      <c r="BD407" s="170"/>
      <c r="BE407" s="170"/>
      <c r="BF407" s="170"/>
      <c r="BG407" s="170"/>
      <c r="BH407" s="170"/>
      <c r="BI407" s="170"/>
      <c r="BJ407" s="170"/>
      <c r="BK407" s="167">
        <f t="shared" si="285"/>
        <v>0</v>
      </c>
      <c r="BL407" s="167">
        <f t="shared" si="286"/>
        <v>0</v>
      </c>
      <c r="BM407" s="167">
        <f t="shared" si="287"/>
        <v>0</v>
      </c>
      <c r="BN407" s="167">
        <f t="shared" si="288"/>
        <v>0</v>
      </c>
    </row>
    <row r="408" spans="1:66" s="171" customFormat="1" ht="15.75" hidden="1" customHeight="1" outlineLevel="3" x14ac:dyDescent="0.3">
      <c r="A408" s="169"/>
      <c r="B408" s="164" t="s">
        <v>2592</v>
      </c>
      <c r="C408" s="164" t="s">
        <v>64</v>
      </c>
      <c r="D408" s="164" t="s">
        <v>2845</v>
      </c>
      <c r="E408" s="169" t="s">
        <v>2592</v>
      </c>
      <c r="F408" s="169" t="s">
        <v>3208</v>
      </c>
      <c r="G408" s="169">
        <v>57</v>
      </c>
      <c r="H408" s="169" t="s">
        <v>230</v>
      </c>
      <c r="I408" s="165">
        <f t="shared" si="283"/>
        <v>0</v>
      </c>
      <c r="J408" s="165">
        <f t="shared" si="289"/>
        <v>0</v>
      </c>
      <c r="K408" s="150">
        <f t="shared" si="284"/>
        <v>0</v>
      </c>
      <c r="L408" s="150">
        <f t="shared" si="290"/>
        <v>0</v>
      </c>
      <c r="M408" s="166"/>
      <c r="N408" s="150"/>
      <c r="O408" s="150"/>
      <c r="P408" s="150"/>
      <c r="Q408" s="150"/>
      <c r="R408" s="150"/>
      <c r="S408" s="150"/>
      <c r="T408" s="150"/>
      <c r="U408" s="150"/>
      <c r="V408" s="150"/>
      <c r="W408" s="150"/>
      <c r="X408" s="150"/>
      <c r="Y408" s="150"/>
      <c r="Z408" s="150"/>
      <c r="AA408" s="150"/>
      <c r="AB408" s="150"/>
      <c r="AC408" s="165"/>
      <c r="AD408" s="165"/>
      <c r="AE408" s="165"/>
      <c r="AF408" s="165"/>
      <c r="AG408" s="165"/>
      <c r="AH408" s="165"/>
      <c r="AI408" s="150"/>
      <c r="AJ408" s="150"/>
      <c r="AK408" s="150"/>
      <c r="AL408" s="150"/>
      <c r="AM408" s="150"/>
      <c r="AN408" s="150"/>
      <c r="AO408" s="150"/>
      <c r="AP408" s="150"/>
      <c r="AQ408" s="150"/>
      <c r="AR408" s="150"/>
      <c r="AS408" s="150"/>
      <c r="AT408" s="150"/>
      <c r="AU408" s="150"/>
      <c r="AV408" s="150"/>
      <c r="AW408" s="150"/>
      <c r="AX408" s="150"/>
      <c r="AY408" s="150"/>
      <c r="AZ408" s="150"/>
      <c r="BA408" s="150"/>
      <c r="BB408" s="150"/>
      <c r="BC408" s="170"/>
      <c r="BD408" s="170"/>
      <c r="BE408" s="170"/>
      <c r="BF408" s="170"/>
      <c r="BG408" s="170"/>
      <c r="BH408" s="170"/>
      <c r="BI408" s="170"/>
      <c r="BJ408" s="170"/>
      <c r="BK408" s="167">
        <f t="shared" si="285"/>
        <v>0</v>
      </c>
      <c r="BL408" s="167">
        <f t="shared" si="286"/>
        <v>0</v>
      </c>
      <c r="BM408" s="167">
        <f t="shared" si="287"/>
        <v>0</v>
      </c>
      <c r="BN408" s="167">
        <f t="shared" si="288"/>
        <v>0</v>
      </c>
    </row>
    <row r="409" spans="1:66" s="171" customFormat="1" ht="15.75" hidden="1" customHeight="1" outlineLevel="3" x14ac:dyDescent="0.3">
      <c r="A409" s="169"/>
      <c r="B409" s="164" t="s">
        <v>2592</v>
      </c>
      <c r="C409" s="164" t="s">
        <v>64</v>
      </c>
      <c r="D409" s="164" t="s">
        <v>2845</v>
      </c>
      <c r="E409" s="169" t="s">
        <v>2592</v>
      </c>
      <c r="F409" s="169" t="s">
        <v>3208</v>
      </c>
      <c r="G409" s="169">
        <v>58</v>
      </c>
      <c r="H409" s="169" t="s">
        <v>232</v>
      </c>
      <c r="I409" s="165">
        <f t="shared" si="283"/>
        <v>0</v>
      </c>
      <c r="J409" s="165">
        <f t="shared" si="289"/>
        <v>0</v>
      </c>
      <c r="K409" s="150">
        <f t="shared" si="284"/>
        <v>0</v>
      </c>
      <c r="L409" s="150">
        <f t="shared" si="290"/>
        <v>0</v>
      </c>
      <c r="M409" s="166"/>
      <c r="N409" s="150"/>
      <c r="O409" s="150"/>
      <c r="P409" s="150"/>
      <c r="Q409" s="150"/>
      <c r="R409" s="150"/>
      <c r="S409" s="150"/>
      <c r="T409" s="150"/>
      <c r="U409" s="150"/>
      <c r="V409" s="150"/>
      <c r="W409" s="150"/>
      <c r="X409" s="150"/>
      <c r="Y409" s="150"/>
      <c r="Z409" s="150"/>
      <c r="AA409" s="150"/>
      <c r="AB409" s="150"/>
      <c r="AC409" s="165"/>
      <c r="AD409" s="165"/>
      <c r="AE409" s="165"/>
      <c r="AF409" s="165"/>
      <c r="AG409" s="165"/>
      <c r="AH409" s="165"/>
      <c r="AI409" s="150"/>
      <c r="AJ409" s="150"/>
      <c r="AK409" s="150"/>
      <c r="AL409" s="150"/>
      <c r="AM409" s="150"/>
      <c r="AN409" s="150"/>
      <c r="AO409" s="150"/>
      <c r="AP409" s="150"/>
      <c r="AQ409" s="150"/>
      <c r="AR409" s="150"/>
      <c r="AS409" s="150"/>
      <c r="AT409" s="150"/>
      <c r="AU409" s="150"/>
      <c r="AV409" s="150"/>
      <c r="AW409" s="150"/>
      <c r="AX409" s="150"/>
      <c r="AY409" s="150"/>
      <c r="AZ409" s="150"/>
      <c r="BA409" s="150"/>
      <c r="BB409" s="150"/>
      <c r="BC409" s="170"/>
      <c r="BD409" s="170"/>
      <c r="BE409" s="170"/>
      <c r="BF409" s="170"/>
      <c r="BG409" s="170"/>
      <c r="BH409" s="170"/>
      <c r="BI409" s="170"/>
      <c r="BJ409" s="170"/>
      <c r="BK409" s="167">
        <f t="shared" si="285"/>
        <v>0</v>
      </c>
      <c r="BL409" s="167">
        <f t="shared" si="286"/>
        <v>0</v>
      </c>
      <c r="BM409" s="167">
        <f t="shared" si="287"/>
        <v>0</v>
      </c>
      <c r="BN409" s="167">
        <f t="shared" si="288"/>
        <v>0</v>
      </c>
    </row>
    <row r="410" spans="1:66" s="171" customFormat="1" ht="15.75" hidden="1" customHeight="1" outlineLevel="3" x14ac:dyDescent="0.3">
      <c r="A410" s="169"/>
      <c r="B410" s="164" t="s">
        <v>2592</v>
      </c>
      <c r="C410" s="164" t="s">
        <v>64</v>
      </c>
      <c r="D410" s="164" t="s">
        <v>2845</v>
      </c>
      <c r="E410" s="169" t="s">
        <v>2592</v>
      </c>
      <c r="F410" s="169" t="s">
        <v>3208</v>
      </c>
      <c r="G410" s="169">
        <v>59</v>
      </c>
      <c r="H410" s="169" t="s">
        <v>234</v>
      </c>
      <c r="I410" s="165">
        <f t="shared" si="283"/>
        <v>0</v>
      </c>
      <c r="J410" s="165">
        <f t="shared" si="289"/>
        <v>0</v>
      </c>
      <c r="K410" s="150">
        <f t="shared" si="284"/>
        <v>0</v>
      </c>
      <c r="L410" s="150">
        <f t="shared" si="290"/>
        <v>0</v>
      </c>
      <c r="M410" s="166"/>
      <c r="N410" s="150"/>
      <c r="O410" s="150"/>
      <c r="P410" s="150"/>
      <c r="Q410" s="150"/>
      <c r="R410" s="150"/>
      <c r="S410" s="150"/>
      <c r="T410" s="150"/>
      <c r="U410" s="150"/>
      <c r="V410" s="150"/>
      <c r="W410" s="150"/>
      <c r="X410" s="150"/>
      <c r="Y410" s="150"/>
      <c r="Z410" s="150"/>
      <c r="AA410" s="150"/>
      <c r="AB410" s="150"/>
      <c r="AC410" s="165"/>
      <c r="AD410" s="165"/>
      <c r="AE410" s="165"/>
      <c r="AF410" s="165"/>
      <c r="AG410" s="165"/>
      <c r="AH410" s="165"/>
      <c r="AI410" s="150"/>
      <c r="AJ410" s="150"/>
      <c r="AK410" s="150"/>
      <c r="AL410" s="150"/>
      <c r="AM410" s="150"/>
      <c r="AN410" s="150"/>
      <c r="AO410" s="150"/>
      <c r="AP410" s="150"/>
      <c r="AQ410" s="150"/>
      <c r="AR410" s="150"/>
      <c r="AS410" s="150"/>
      <c r="AT410" s="150"/>
      <c r="AU410" s="150"/>
      <c r="AV410" s="150"/>
      <c r="AW410" s="150"/>
      <c r="AX410" s="150"/>
      <c r="AY410" s="150"/>
      <c r="AZ410" s="150"/>
      <c r="BA410" s="150"/>
      <c r="BB410" s="150"/>
      <c r="BC410" s="170"/>
      <c r="BD410" s="170"/>
      <c r="BE410" s="170"/>
      <c r="BF410" s="170"/>
      <c r="BG410" s="170"/>
      <c r="BH410" s="170"/>
      <c r="BI410" s="170"/>
      <c r="BJ410" s="170"/>
      <c r="BK410" s="167">
        <f t="shared" si="285"/>
        <v>0</v>
      </c>
      <c r="BL410" s="167">
        <f t="shared" si="286"/>
        <v>0</v>
      </c>
      <c r="BM410" s="167">
        <f t="shared" si="287"/>
        <v>0</v>
      </c>
      <c r="BN410" s="167">
        <f t="shared" si="288"/>
        <v>0</v>
      </c>
    </row>
    <row r="411" spans="1:66" s="171" customFormat="1" ht="15.75" hidden="1" customHeight="1" outlineLevel="3" x14ac:dyDescent="0.3">
      <c r="A411" s="169"/>
      <c r="B411" s="164" t="s">
        <v>2592</v>
      </c>
      <c r="C411" s="164" t="s">
        <v>64</v>
      </c>
      <c r="D411" s="164" t="s">
        <v>2845</v>
      </c>
      <c r="E411" s="169" t="s">
        <v>2592</v>
      </c>
      <c r="F411" s="169" t="s">
        <v>3208</v>
      </c>
      <c r="G411" s="169">
        <v>60</v>
      </c>
      <c r="H411" s="169" t="s">
        <v>3571</v>
      </c>
      <c r="I411" s="165">
        <f t="shared" si="283"/>
        <v>0</v>
      </c>
      <c r="J411" s="165">
        <f t="shared" si="289"/>
        <v>0</v>
      </c>
      <c r="K411" s="150">
        <f t="shared" si="284"/>
        <v>0</v>
      </c>
      <c r="L411" s="150">
        <f t="shared" si="290"/>
        <v>0</v>
      </c>
      <c r="M411" s="166"/>
      <c r="N411" s="150">
        <f t="shared" ref="N411:AL411" si="291">SUM(N369:N387,N390:N398,N400:N406)*0.13+N399*0.9*0.13-N414-N415</f>
        <v>0</v>
      </c>
      <c r="O411" s="150">
        <f t="shared" ref="O411:Z411" si="292">SUM(O369:O387,O390:O398,O400:O406)*0.13+O399*0.9*0.13-O414-O415</f>
        <v>0</v>
      </c>
      <c r="P411" s="150">
        <f t="shared" si="292"/>
        <v>0</v>
      </c>
      <c r="Q411" s="150">
        <f t="shared" si="292"/>
        <v>0</v>
      </c>
      <c r="R411" s="150">
        <f t="shared" si="292"/>
        <v>0</v>
      </c>
      <c r="S411" s="150">
        <f t="shared" si="292"/>
        <v>0</v>
      </c>
      <c r="T411" s="150">
        <f t="shared" si="292"/>
        <v>0</v>
      </c>
      <c r="U411" s="150">
        <f t="shared" si="292"/>
        <v>0</v>
      </c>
      <c r="V411" s="150">
        <f t="shared" si="292"/>
        <v>0</v>
      </c>
      <c r="W411" s="150">
        <f t="shared" si="292"/>
        <v>0</v>
      </c>
      <c r="X411" s="150">
        <f t="shared" si="292"/>
        <v>0</v>
      </c>
      <c r="Y411" s="150">
        <f t="shared" si="292"/>
        <v>0</v>
      </c>
      <c r="Z411" s="150">
        <f t="shared" si="292"/>
        <v>0</v>
      </c>
      <c r="AA411" s="150">
        <f t="shared" si="291"/>
        <v>0</v>
      </c>
      <c r="AB411" s="150">
        <f t="shared" si="291"/>
        <v>0</v>
      </c>
      <c r="AC411" s="150">
        <f t="shared" si="291"/>
        <v>0</v>
      </c>
      <c r="AD411" s="150">
        <f t="shared" si="291"/>
        <v>0</v>
      </c>
      <c r="AE411" s="150">
        <f t="shared" si="291"/>
        <v>0</v>
      </c>
      <c r="AF411" s="150">
        <f>SUM(AF369:AF387,AF390:AF398,AF400:AF406)*0.13+AF399*0.9*0.13-AF414-AF415</f>
        <v>0</v>
      </c>
      <c r="AG411" s="150">
        <f t="shared" ref="AG411" si="293">SUM(AG369:AG387,AG390:AG398,AG400:AG406)*0.13+AG399*0.9*0.13-AG414-AG415</f>
        <v>0</v>
      </c>
      <c r="AH411" s="150">
        <f t="shared" si="291"/>
        <v>0</v>
      </c>
      <c r="AI411" s="150">
        <f t="shared" si="291"/>
        <v>0</v>
      </c>
      <c r="AJ411" s="150">
        <f t="shared" si="291"/>
        <v>0</v>
      </c>
      <c r="AK411" s="150">
        <f t="shared" si="291"/>
        <v>0</v>
      </c>
      <c r="AL411" s="150">
        <f t="shared" si="291"/>
        <v>0</v>
      </c>
      <c r="AM411" s="150"/>
      <c r="AN411" s="150"/>
      <c r="AO411" s="150"/>
      <c r="AP411" s="150"/>
      <c r="AQ411" s="150"/>
      <c r="AR411" s="150"/>
      <c r="AS411" s="150"/>
      <c r="AT411" s="150"/>
      <c r="AU411" s="150"/>
      <c r="AV411" s="150"/>
      <c r="AW411" s="150"/>
      <c r="AX411" s="150"/>
      <c r="AY411" s="150"/>
      <c r="AZ411" s="150"/>
      <c r="BA411" s="150"/>
      <c r="BB411" s="150"/>
      <c r="BC411" s="170"/>
      <c r="BD411" s="170"/>
      <c r="BE411" s="170"/>
      <c r="BF411" s="170"/>
      <c r="BG411" s="170"/>
      <c r="BH411" s="170"/>
      <c r="BI411" s="170"/>
      <c r="BJ411" s="170"/>
      <c r="BK411" s="167">
        <f t="shared" si="285"/>
        <v>0</v>
      </c>
      <c r="BL411" s="167">
        <f t="shared" si="286"/>
        <v>0</v>
      </c>
      <c r="BM411" s="167">
        <f t="shared" si="287"/>
        <v>0</v>
      </c>
      <c r="BN411" s="167">
        <f t="shared" si="288"/>
        <v>0</v>
      </c>
    </row>
    <row r="412" spans="1:66" s="171" customFormat="1" ht="15.75" hidden="1" customHeight="1" outlineLevel="3" x14ac:dyDescent="0.3">
      <c r="A412" s="169"/>
      <c r="B412" s="164" t="s">
        <v>2592</v>
      </c>
      <c r="C412" s="164" t="s">
        <v>64</v>
      </c>
      <c r="D412" s="164" t="s">
        <v>2845</v>
      </c>
      <c r="E412" s="169" t="s">
        <v>2592</v>
      </c>
      <c r="F412" s="169" t="s">
        <v>3208</v>
      </c>
      <c r="G412" s="169">
        <v>61</v>
      </c>
      <c r="H412" s="169" t="s">
        <v>3572</v>
      </c>
      <c r="I412" s="165">
        <f t="shared" si="283"/>
        <v>0</v>
      </c>
      <c r="J412" s="165">
        <f t="shared" si="289"/>
        <v>0</v>
      </c>
      <c r="K412" s="150">
        <f t="shared" si="284"/>
        <v>0</v>
      </c>
      <c r="L412" s="150">
        <f t="shared" si="290"/>
        <v>0</v>
      </c>
      <c r="M412" s="166"/>
      <c r="N412" s="150"/>
      <c r="O412" s="150"/>
      <c r="P412" s="150"/>
      <c r="Q412" s="150"/>
      <c r="R412" s="150"/>
      <c r="S412" s="150"/>
      <c r="T412" s="150"/>
      <c r="U412" s="150"/>
      <c r="V412" s="150"/>
      <c r="W412" s="150"/>
      <c r="X412" s="150"/>
      <c r="Y412" s="150"/>
      <c r="Z412" s="150"/>
      <c r="AA412" s="150"/>
      <c r="AB412" s="150"/>
      <c r="AC412" s="165"/>
      <c r="AD412" s="165"/>
      <c r="AE412" s="165"/>
      <c r="AF412" s="165"/>
      <c r="AG412" s="165"/>
      <c r="AH412" s="165"/>
      <c r="AI412" s="150"/>
      <c r="AJ412" s="150"/>
      <c r="AK412" s="150"/>
      <c r="AL412" s="150"/>
      <c r="AM412" s="150"/>
      <c r="AN412" s="150"/>
      <c r="AO412" s="150"/>
      <c r="AP412" s="150"/>
      <c r="AQ412" s="150"/>
      <c r="AR412" s="150"/>
      <c r="AS412" s="150"/>
      <c r="AT412" s="150"/>
      <c r="AU412" s="150"/>
      <c r="AV412" s="150"/>
      <c r="AW412" s="150"/>
      <c r="AX412" s="150"/>
      <c r="AY412" s="150"/>
      <c r="AZ412" s="150"/>
      <c r="BA412" s="150"/>
      <c r="BB412" s="150"/>
      <c r="BC412" s="170"/>
      <c r="BD412" s="170"/>
      <c r="BE412" s="170"/>
      <c r="BF412" s="170"/>
      <c r="BG412" s="170"/>
      <c r="BH412" s="170"/>
      <c r="BI412" s="170"/>
      <c r="BJ412" s="170"/>
      <c r="BK412" s="167">
        <f t="shared" si="285"/>
        <v>0</v>
      </c>
      <c r="BL412" s="167">
        <f t="shared" si="286"/>
        <v>0</v>
      </c>
      <c r="BM412" s="167">
        <f t="shared" si="287"/>
        <v>0</v>
      </c>
      <c r="BN412" s="167">
        <f t="shared" si="288"/>
        <v>0</v>
      </c>
    </row>
    <row r="413" spans="1:66" s="171" customFormat="1" ht="15.75" hidden="1" customHeight="1" outlineLevel="3" x14ac:dyDescent="0.3">
      <c r="A413" s="169"/>
      <c r="B413" s="164" t="s">
        <v>2592</v>
      </c>
      <c r="C413" s="164" t="s">
        <v>64</v>
      </c>
      <c r="D413" s="164" t="s">
        <v>2845</v>
      </c>
      <c r="E413" s="169" t="s">
        <v>2592</v>
      </c>
      <c r="F413" s="169" t="s">
        <v>3208</v>
      </c>
      <c r="G413" s="169">
        <v>62</v>
      </c>
      <c r="H413" s="169" t="s">
        <v>3573</v>
      </c>
      <c r="I413" s="165">
        <f t="shared" si="283"/>
        <v>0</v>
      </c>
      <c r="J413" s="165">
        <f t="shared" si="289"/>
        <v>0</v>
      </c>
      <c r="K413" s="150">
        <f t="shared" si="284"/>
        <v>0</v>
      </c>
      <c r="L413" s="150">
        <f t="shared" si="290"/>
        <v>0</v>
      </c>
      <c r="M413" s="166"/>
      <c r="N413" s="150"/>
      <c r="O413" s="150"/>
      <c r="P413" s="150"/>
      <c r="Q413" s="150"/>
      <c r="R413" s="150"/>
      <c r="S413" s="150"/>
      <c r="T413" s="150"/>
      <c r="U413" s="150"/>
      <c r="V413" s="150"/>
      <c r="W413" s="150"/>
      <c r="X413" s="150"/>
      <c r="Y413" s="150"/>
      <c r="Z413" s="150"/>
      <c r="AA413" s="150"/>
      <c r="AB413" s="150"/>
      <c r="AC413" s="165"/>
      <c r="AD413" s="165"/>
      <c r="AE413" s="165"/>
      <c r="AF413" s="165"/>
      <c r="AG413" s="165"/>
      <c r="AH413" s="165"/>
      <c r="AI413" s="150"/>
      <c r="AJ413" s="150"/>
      <c r="AK413" s="150"/>
      <c r="AL413" s="150"/>
      <c r="AM413" s="150"/>
      <c r="AN413" s="150"/>
      <c r="AO413" s="150"/>
      <c r="AP413" s="150"/>
      <c r="AQ413" s="150"/>
      <c r="AR413" s="150"/>
      <c r="AS413" s="150"/>
      <c r="AT413" s="150"/>
      <c r="AU413" s="150"/>
      <c r="AV413" s="150"/>
      <c r="AW413" s="150"/>
      <c r="AX413" s="150"/>
      <c r="AY413" s="150"/>
      <c r="AZ413" s="150"/>
      <c r="BA413" s="150"/>
      <c r="BB413" s="150"/>
      <c r="BC413" s="170"/>
      <c r="BD413" s="170"/>
      <c r="BE413" s="170"/>
      <c r="BF413" s="170"/>
      <c r="BG413" s="170"/>
      <c r="BH413" s="170"/>
      <c r="BI413" s="170"/>
      <c r="BJ413" s="170"/>
      <c r="BK413" s="167">
        <f t="shared" si="285"/>
        <v>0</v>
      </c>
      <c r="BL413" s="167">
        <f t="shared" si="286"/>
        <v>0</v>
      </c>
      <c r="BM413" s="167">
        <f t="shared" si="287"/>
        <v>0</v>
      </c>
      <c r="BN413" s="167">
        <f t="shared" si="288"/>
        <v>0</v>
      </c>
    </row>
    <row r="414" spans="1:66" s="171" customFormat="1" ht="15.75" hidden="1" customHeight="1" outlineLevel="3" x14ac:dyDescent="0.3">
      <c r="A414" s="169"/>
      <c r="B414" s="164" t="s">
        <v>2592</v>
      </c>
      <c r="C414" s="164" t="s">
        <v>64</v>
      </c>
      <c r="D414" s="164" t="s">
        <v>2845</v>
      </c>
      <c r="E414" s="169" t="s">
        <v>2592</v>
      </c>
      <c r="F414" s="169" t="s">
        <v>3208</v>
      </c>
      <c r="G414" s="169">
        <v>63</v>
      </c>
      <c r="H414" s="169" t="s">
        <v>3257</v>
      </c>
      <c r="I414" s="165">
        <f t="shared" si="283"/>
        <v>0</v>
      </c>
      <c r="J414" s="165">
        <f t="shared" si="289"/>
        <v>0</v>
      </c>
      <c r="K414" s="150">
        <f t="shared" si="284"/>
        <v>0</v>
      </c>
      <c r="L414" s="150">
        <f t="shared" si="290"/>
        <v>0</v>
      </c>
      <c r="M414" s="166"/>
      <c r="N414" s="150">
        <f>+N407*1.4986*0.155</f>
        <v>0</v>
      </c>
      <c r="O414" s="150">
        <f>+O407*1.4986*0.155</f>
        <v>0</v>
      </c>
      <c r="P414" s="150">
        <f t="shared" ref="P414:Z414" si="294">+P407*1.4986*0.155</f>
        <v>0</v>
      </c>
      <c r="Q414" s="150">
        <f t="shared" si="294"/>
        <v>0</v>
      </c>
      <c r="R414" s="150">
        <f t="shared" si="294"/>
        <v>0</v>
      </c>
      <c r="S414" s="150">
        <f t="shared" si="294"/>
        <v>0</v>
      </c>
      <c r="T414" s="150">
        <f t="shared" si="294"/>
        <v>0</v>
      </c>
      <c r="U414" s="150">
        <f t="shared" si="294"/>
        <v>0</v>
      </c>
      <c r="V414" s="150">
        <f t="shared" si="294"/>
        <v>0</v>
      </c>
      <c r="W414" s="150">
        <f t="shared" si="294"/>
        <v>0</v>
      </c>
      <c r="X414" s="150">
        <f t="shared" si="294"/>
        <v>0</v>
      </c>
      <c r="Y414" s="150">
        <f t="shared" si="294"/>
        <v>0</v>
      </c>
      <c r="Z414" s="150">
        <f t="shared" si="294"/>
        <v>0</v>
      </c>
      <c r="AA414" s="150">
        <f t="shared" ref="AA414:AL414" si="295">+AA407*1.4986*0.155</f>
        <v>0</v>
      </c>
      <c r="AB414" s="150">
        <f t="shared" si="295"/>
        <v>0</v>
      </c>
      <c r="AC414" s="165">
        <f t="shared" si="295"/>
        <v>0</v>
      </c>
      <c r="AD414" s="165">
        <f t="shared" si="295"/>
        <v>0</v>
      </c>
      <c r="AE414" s="165">
        <f t="shared" si="295"/>
        <v>0</v>
      </c>
      <c r="AF414" s="165">
        <f t="shared" ref="AF414" si="296">+AF407*1.4986*0.155</f>
        <v>0</v>
      </c>
      <c r="AG414" s="165">
        <f t="shared" ref="AG414" si="297">+AG407*1.4986*0.155</f>
        <v>0</v>
      </c>
      <c r="AH414" s="165">
        <f t="shared" si="295"/>
        <v>0</v>
      </c>
      <c r="AI414" s="150">
        <f t="shared" si="295"/>
        <v>0</v>
      </c>
      <c r="AJ414" s="150">
        <f t="shared" si="295"/>
        <v>0</v>
      </c>
      <c r="AK414" s="150">
        <f t="shared" si="295"/>
        <v>0</v>
      </c>
      <c r="AL414" s="150">
        <f t="shared" si="295"/>
        <v>0</v>
      </c>
      <c r="AM414" s="150"/>
      <c r="AN414" s="150"/>
      <c r="AO414" s="150"/>
      <c r="AP414" s="150"/>
      <c r="AQ414" s="150"/>
      <c r="AR414" s="150"/>
      <c r="AS414" s="150"/>
      <c r="AT414" s="150"/>
      <c r="AU414" s="150"/>
      <c r="AV414" s="150"/>
      <c r="AW414" s="150"/>
      <c r="AX414" s="150"/>
      <c r="AY414" s="150"/>
      <c r="AZ414" s="150"/>
      <c r="BA414" s="150"/>
      <c r="BB414" s="150"/>
      <c r="BC414" s="170"/>
      <c r="BD414" s="170"/>
      <c r="BE414" s="170"/>
      <c r="BF414" s="170"/>
      <c r="BG414" s="170"/>
      <c r="BH414" s="170"/>
      <c r="BI414" s="170"/>
      <c r="BJ414" s="170"/>
      <c r="BK414" s="167">
        <f t="shared" si="285"/>
        <v>0</v>
      </c>
      <c r="BL414" s="167">
        <f t="shared" si="286"/>
        <v>0</v>
      </c>
      <c r="BM414" s="167">
        <f t="shared" si="287"/>
        <v>0</v>
      </c>
      <c r="BN414" s="167">
        <f t="shared" si="288"/>
        <v>0</v>
      </c>
    </row>
    <row r="415" spans="1:66" s="171" customFormat="1" ht="15.75" hidden="1" customHeight="1" outlineLevel="3" x14ac:dyDescent="0.3">
      <c r="A415" s="169"/>
      <c r="B415" s="164" t="s">
        <v>2592</v>
      </c>
      <c r="C415" s="164" t="s">
        <v>64</v>
      </c>
      <c r="D415" s="164" t="s">
        <v>2845</v>
      </c>
      <c r="E415" s="169" t="s">
        <v>2592</v>
      </c>
      <c r="F415" s="169" t="s">
        <v>3208</v>
      </c>
      <c r="G415" s="169">
        <v>64</v>
      </c>
      <c r="H415" s="169" t="s">
        <v>243</v>
      </c>
      <c r="I415" s="165">
        <f t="shared" si="283"/>
        <v>0</v>
      </c>
      <c r="J415" s="165">
        <f t="shared" si="289"/>
        <v>0</v>
      </c>
      <c r="K415" s="150">
        <f t="shared" si="284"/>
        <v>0</v>
      </c>
      <c r="L415" s="150">
        <f t="shared" si="290"/>
        <v>0</v>
      </c>
      <c r="M415" s="166"/>
      <c r="N415" s="150">
        <f>+N407*1.4986*0.15</f>
        <v>0</v>
      </c>
      <c r="O415" s="150">
        <f>+O407*1.4986*0.15</f>
        <v>0</v>
      </c>
      <c r="P415" s="150">
        <f t="shared" ref="P415:Z415" si="298">+P407*1.4986*0.15</f>
        <v>0</v>
      </c>
      <c r="Q415" s="150">
        <f t="shared" si="298"/>
        <v>0</v>
      </c>
      <c r="R415" s="150">
        <f t="shared" si="298"/>
        <v>0</v>
      </c>
      <c r="S415" s="150">
        <f t="shared" si="298"/>
        <v>0</v>
      </c>
      <c r="T415" s="150">
        <f t="shared" si="298"/>
        <v>0</v>
      </c>
      <c r="U415" s="150">
        <f t="shared" si="298"/>
        <v>0</v>
      </c>
      <c r="V415" s="150">
        <f t="shared" si="298"/>
        <v>0</v>
      </c>
      <c r="W415" s="150">
        <f t="shared" si="298"/>
        <v>0</v>
      </c>
      <c r="X415" s="150">
        <f t="shared" si="298"/>
        <v>0</v>
      </c>
      <c r="Y415" s="150">
        <f t="shared" si="298"/>
        <v>0</v>
      </c>
      <c r="Z415" s="150">
        <f t="shared" si="298"/>
        <v>0</v>
      </c>
      <c r="AA415" s="150">
        <f t="shared" ref="AA415:AL415" si="299">+AA407*1.4986*0.15</f>
        <v>0</v>
      </c>
      <c r="AB415" s="150">
        <f t="shared" si="299"/>
        <v>0</v>
      </c>
      <c r="AC415" s="165">
        <f t="shared" si="299"/>
        <v>0</v>
      </c>
      <c r="AD415" s="165">
        <f t="shared" si="299"/>
        <v>0</v>
      </c>
      <c r="AE415" s="165">
        <f t="shared" si="299"/>
        <v>0</v>
      </c>
      <c r="AF415" s="165">
        <f t="shared" ref="AF415" si="300">+AF407*1.4986*0.15</f>
        <v>0</v>
      </c>
      <c r="AG415" s="165">
        <f t="shared" ref="AG415" si="301">+AG407*1.4986*0.15</f>
        <v>0</v>
      </c>
      <c r="AH415" s="165">
        <f t="shared" si="299"/>
        <v>0</v>
      </c>
      <c r="AI415" s="150">
        <f t="shared" si="299"/>
        <v>0</v>
      </c>
      <c r="AJ415" s="150">
        <f t="shared" si="299"/>
        <v>0</v>
      </c>
      <c r="AK415" s="150">
        <f t="shared" si="299"/>
        <v>0</v>
      </c>
      <c r="AL415" s="150">
        <f t="shared" si="299"/>
        <v>0</v>
      </c>
      <c r="AM415" s="150"/>
      <c r="AN415" s="150"/>
      <c r="AO415" s="150"/>
      <c r="AP415" s="150"/>
      <c r="AQ415" s="150"/>
      <c r="AR415" s="150"/>
      <c r="AS415" s="150"/>
      <c r="AT415" s="150"/>
      <c r="AU415" s="150"/>
      <c r="AV415" s="150"/>
      <c r="AW415" s="150"/>
      <c r="AX415" s="150"/>
      <c r="AY415" s="150"/>
      <c r="AZ415" s="150"/>
      <c r="BA415" s="150"/>
      <c r="BB415" s="150"/>
      <c r="BC415" s="170"/>
      <c r="BD415" s="170"/>
      <c r="BE415" s="170"/>
      <c r="BF415" s="170"/>
      <c r="BG415" s="170"/>
      <c r="BH415" s="170"/>
      <c r="BI415" s="170"/>
      <c r="BJ415" s="170"/>
      <c r="BK415" s="167">
        <f t="shared" si="285"/>
        <v>0</v>
      </c>
      <c r="BL415" s="167">
        <f t="shared" si="286"/>
        <v>0</v>
      </c>
      <c r="BM415" s="167">
        <f t="shared" si="287"/>
        <v>0</v>
      </c>
      <c r="BN415" s="167">
        <f t="shared" si="288"/>
        <v>0</v>
      </c>
    </row>
    <row r="416" spans="1:66" s="171" customFormat="1" ht="15.75" hidden="1" customHeight="1" outlineLevel="3" x14ac:dyDescent="0.3">
      <c r="A416" s="169"/>
      <c r="B416" s="164" t="s">
        <v>2592</v>
      </c>
      <c r="C416" s="164" t="s">
        <v>64</v>
      </c>
      <c r="D416" s="164" t="s">
        <v>2845</v>
      </c>
      <c r="E416" s="169" t="s">
        <v>2592</v>
      </c>
      <c r="F416" s="169" t="s">
        <v>3208</v>
      </c>
      <c r="G416" s="169">
        <v>65</v>
      </c>
      <c r="H416" s="169" t="s">
        <v>245</v>
      </c>
      <c r="I416" s="165">
        <f t="shared" si="283"/>
        <v>0</v>
      </c>
      <c r="J416" s="165">
        <f t="shared" si="289"/>
        <v>0</v>
      </c>
      <c r="K416" s="150">
        <f t="shared" si="284"/>
        <v>0</v>
      </c>
      <c r="L416" s="150">
        <f t="shared" si="290"/>
        <v>0</v>
      </c>
      <c r="M416" s="166"/>
      <c r="N416" s="150"/>
      <c r="O416" s="150"/>
      <c r="P416" s="150"/>
      <c r="Q416" s="150"/>
      <c r="R416" s="150"/>
      <c r="S416" s="150"/>
      <c r="T416" s="150"/>
      <c r="U416" s="150"/>
      <c r="V416" s="150"/>
      <c r="W416" s="150"/>
      <c r="X416" s="150"/>
      <c r="Y416" s="150"/>
      <c r="Z416" s="150"/>
      <c r="AA416" s="150"/>
      <c r="AB416" s="150"/>
      <c r="AC416" s="165"/>
      <c r="AD416" s="165"/>
      <c r="AE416" s="165"/>
      <c r="AF416" s="165"/>
      <c r="AG416" s="165"/>
      <c r="AH416" s="165"/>
      <c r="AI416" s="150"/>
      <c r="AJ416" s="150"/>
      <c r="AK416" s="150"/>
      <c r="AL416" s="150"/>
      <c r="AM416" s="150"/>
      <c r="AN416" s="150"/>
      <c r="AO416" s="150"/>
      <c r="AP416" s="150"/>
      <c r="AQ416" s="150"/>
      <c r="AR416" s="150"/>
      <c r="AS416" s="150"/>
      <c r="AT416" s="150"/>
      <c r="AU416" s="150"/>
      <c r="AV416" s="150"/>
      <c r="AW416" s="150"/>
      <c r="AX416" s="150"/>
      <c r="AY416" s="150"/>
      <c r="AZ416" s="150"/>
      <c r="BA416" s="150"/>
      <c r="BB416" s="150"/>
      <c r="BC416" s="170"/>
      <c r="BD416" s="170"/>
      <c r="BE416" s="170"/>
      <c r="BF416" s="170"/>
      <c r="BG416" s="170"/>
      <c r="BH416" s="170"/>
      <c r="BI416" s="170"/>
      <c r="BJ416" s="170"/>
      <c r="BK416" s="167">
        <f t="shared" si="285"/>
        <v>0</v>
      </c>
      <c r="BL416" s="167">
        <f t="shared" si="286"/>
        <v>0</v>
      </c>
      <c r="BM416" s="167">
        <f t="shared" si="287"/>
        <v>0</v>
      </c>
      <c r="BN416" s="167">
        <f t="shared" si="288"/>
        <v>0</v>
      </c>
    </row>
    <row r="417" spans="1:66" s="171" customFormat="1" ht="15.75" hidden="1" customHeight="1" outlineLevel="3" x14ac:dyDescent="0.3">
      <c r="A417" s="169"/>
      <c r="B417" s="164" t="s">
        <v>2592</v>
      </c>
      <c r="C417" s="164" t="s">
        <v>64</v>
      </c>
      <c r="D417" s="164" t="s">
        <v>2845</v>
      </c>
      <c r="E417" s="169" t="s">
        <v>2592</v>
      </c>
      <c r="F417" s="169" t="s">
        <v>3208</v>
      </c>
      <c r="G417" s="169">
        <v>66</v>
      </c>
      <c r="H417" s="169" t="s">
        <v>247</v>
      </c>
      <c r="I417" s="165">
        <f t="shared" si="283"/>
        <v>0</v>
      </c>
      <c r="J417" s="165">
        <f t="shared" si="289"/>
        <v>0</v>
      </c>
      <c r="K417" s="150">
        <f t="shared" si="284"/>
        <v>0</v>
      </c>
      <c r="L417" s="150">
        <f t="shared" si="290"/>
        <v>0</v>
      </c>
      <c r="M417" s="166"/>
      <c r="N417" s="150"/>
      <c r="O417" s="150"/>
      <c r="P417" s="150"/>
      <c r="Q417" s="150"/>
      <c r="R417" s="150"/>
      <c r="S417" s="150"/>
      <c r="T417" s="150"/>
      <c r="U417" s="150"/>
      <c r="V417" s="150"/>
      <c r="W417" s="150"/>
      <c r="X417" s="150"/>
      <c r="Y417" s="150"/>
      <c r="Z417" s="150"/>
      <c r="AA417" s="150"/>
      <c r="AB417" s="150"/>
      <c r="AC417" s="165"/>
      <c r="AD417" s="165"/>
      <c r="AE417" s="165"/>
      <c r="AF417" s="165"/>
      <c r="AG417" s="165"/>
      <c r="AH417" s="165"/>
      <c r="AI417" s="150"/>
      <c r="AJ417" s="150"/>
      <c r="AK417" s="150"/>
      <c r="AL417" s="150"/>
      <c r="AM417" s="150"/>
      <c r="AN417" s="150"/>
      <c r="AO417" s="150"/>
      <c r="AP417" s="150"/>
      <c r="AQ417" s="150"/>
      <c r="AR417" s="150"/>
      <c r="AS417" s="150"/>
      <c r="AT417" s="150"/>
      <c r="AU417" s="150"/>
      <c r="AV417" s="150"/>
      <c r="AW417" s="150"/>
      <c r="AX417" s="150"/>
      <c r="AY417" s="150"/>
      <c r="AZ417" s="150"/>
      <c r="BA417" s="150"/>
      <c r="BB417" s="150"/>
      <c r="BC417" s="170"/>
      <c r="BD417" s="170"/>
      <c r="BE417" s="170"/>
      <c r="BF417" s="170"/>
      <c r="BG417" s="170"/>
      <c r="BH417" s="170"/>
      <c r="BI417" s="170"/>
      <c r="BJ417" s="170"/>
      <c r="BK417" s="167">
        <f t="shared" si="285"/>
        <v>0</v>
      </c>
      <c r="BL417" s="167">
        <f t="shared" si="286"/>
        <v>0</v>
      </c>
      <c r="BM417" s="167">
        <f t="shared" si="287"/>
        <v>0</v>
      </c>
      <c r="BN417" s="167">
        <f t="shared" si="288"/>
        <v>0</v>
      </c>
    </row>
    <row r="418" spans="1:66" s="171" customFormat="1" ht="15.75" hidden="1" customHeight="1" outlineLevel="3" x14ac:dyDescent="0.3">
      <c r="A418" s="169"/>
      <c r="B418" s="164" t="s">
        <v>2706</v>
      </c>
      <c r="C418" s="164" t="s">
        <v>64</v>
      </c>
      <c r="D418" s="164" t="s">
        <v>2846</v>
      </c>
      <c r="E418" s="164" t="s">
        <v>2724</v>
      </c>
      <c r="F418" s="169" t="s">
        <v>3208</v>
      </c>
      <c r="G418" s="169"/>
      <c r="H418" s="164" t="s">
        <v>2620</v>
      </c>
      <c r="I418" s="178"/>
      <c r="J418" s="165">
        <f t="shared" si="289"/>
        <v>0</v>
      </c>
      <c r="K418" s="150">
        <f>+I418-J418</f>
        <v>0</v>
      </c>
      <c r="L418" s="150">
        <f t="shared" si="290"/>
        <v>0</v>
      </c>
      <c r="M418" s="166"/>
      <c r="N418" s="150"/>
      <c r="O418" s="150"/>
      <c r="P418" s="150"/>
      <c r="Q418" s="150"/>
      <c r="R418" s="150"/>
      <c r="S418" s="150"/>
      <c r="T418" s="150"/>
      <c r="U418" s="150"/>
      <c r="V418" s="150"/>
      <c r="W418" s="150"/>
      <c r="X418" s="150"/>
      <c r="Y418" s="150"/>
      <c r="Z418" s="165"/>
      <c r="AA418" s="165"/>
      <c r="AB418" s="165"/>
      <c r="AC418" s="165"/>
      <c r="AD418" s="165"/>
      <c r="AE418" s="165"/>
      <c r="AF418" s="165"/>
      <c r="AG418" s="165"/>
      <c r="AH418" s="165"/>
      <c r="AI418" s="165"/>
      <c r="AJ418" s="165"/>
      <c r="AK418" s="165"/>
      <c r="AL418" s="165"/>
      <c r="AM418" s="165"/>
      <c r="AN418" s="165"/>
      <c r="AO418" s="165"/>
      <c r="AP418" s="150"/>
      <c r="AQ418" s="150"/>
      <c r="AR418" s="150"/>
      <c r="AS418" s="150"/>
      <c r="AT418" s="150"/>
      <c r="AU418" s="150"/>
      <c r="AV418" s="150"/>
      <c r="AW418" s="150"/>
      <c r="AX418" s="150"/>
      <c r="AY418" s="150"/>
      <c r="AZ418" s="150"/>
      <c r="BA418" s="150"/>
      <c r="BB418" s="150"/>
      <c r="BC418" s="170"/>
      <c r="BD418" s="170"/>
      <c r="BE418" s="170"/>
      <c r="BF418" s="170"/>
      <c r="BG418" s="170"/>
      <c r="BH418" s="170"/>
      <c r="BI418" s="170"/>
      <c r="BJ418" s="170"/>
      <c r="BK418" s="167">
        <f t="shared" si="285"/>
        <v>0</v>
      </c>
      <c r="BL418" s="167">
        <f t="shared" si="286"/>
        <v>0</v>
      </c>
      <c r="BM418" s="167">
        <f t="shared" si="287"/>
        <v>0</v>
      </c>
      <c r="BN418" s="167">
        <f t="shared" si="288"/>
        <v>0</v>
      </c>
    </row>
    <row r="419" spans="1:66" s="171" customFormat="1" ht="15.75" hidden="1" customHeight="1" outlineLevel="3" x14ac:dyDescent="0.3">
      <c r="A419" s="169"/>
      <c r="B419" s="169"/>
      <c r="C419" s="169"/>
      <c r="D419" s="169"/>
      <c r="E419" s="169" t="s">
        <v>2706</v>
      </c>
      <c r="F419" s="169" t="s">
        <v>3208</v>
      </c>
      <c r="G419" s="169">
        <v>67</v>
      </c>
      <c r="H419" s="169" t="s">
        <v>249</v>
      </c>
      <c r="I419" s="165">
        <f>+J419</f>
        <v>0</v>
      </c>
      <c r="J419" s="165">
        <f t="shared" si="289"/>
        <v>0</v>
      </c>
      <c r="K419" s="150">
        <f t="shared" si="284"/>
        <v>0</v>
      </c>
      <c r="L419" s="150">
        <f t="shared" si="290"/>
        <v>0</v>
      </c>
      <c r="M419" s="166"/>
      <c r="N419" s="150"/>
      <c r="O419" s="150"/>
      <c r="P419" s="150"/>
      <c r="Q419" s="150"/>
      <c r="R419" s="150"/>
      <c r="S419" s="150"/>
      <c r="T419" s="150"/>
      <c r="U419" s="150"/>
      <c r="V419" s="150"/>
      <c r="W419" s="150"/>
      <c r="X419" s="150"/>
      <c r="Y419" s="150"/>
      <c r="Z419" s="150"/>
      <c r="AA419" s="150"/>
      <c r="AB419" s="150"/>
      <c r="AC419" s="165"/>
      <c r="AD419" s="165"/>
      <c r="AE419" s="165"/>
      <c r="AF419" s="165"/>
      <c r="AG419" s="165"/>
      <c r="AH419" s="165"/>
      <c r="AI419" s="150"/>
      <c r="AJ419" s="150"/>
      <c r="AK419" s="150"/>
      <c r="AL419" s="150"/>
      <c r="AM419" s="150"/>
      <c r="AN419" s="150"/>
      <c r="AO419" s="150"/>
      <c r="AP419" s="150"/>
      <c r="AQ419" s="150"/>
      <c r="AR419" s="150"/>
      <c r="AS419" s="150"/>
      <c r="AT419" s="150"/>
      <c r="AU419" s="150"/>
      <c r="AV419" s="150"/>
      <c r="AW419" s="150"/>
      <c r="AX419" s="150"/>
      <c r="AY419" s="150"/>
      <c r="AZ419" s="150"/>
      <c r="BA419" s="150"/>
      <c r="BB419" s="150"/>
      <c r="BC419" s="170"/>
      <c r="BD419" s="170"/>
      <c r="BE419" s="170"/>
      <c r="BF419" s="170"/>
      <c r="BG419" s="170"/>
      <c r="BH419" s="170"/>
      <c r="BI419" s="170"/>
      <c r="BJ419" s="170"/>
      <c r="BK419" s="167">
        <f t="shared" si="285"/>
        <v>0</v>
      </c>
      <c r="BL419" s="167">
        <f t="shared" si="286"/>
        <v>0</v>
      </c>
      <c r="BM419" s="167">
        <f t="shared" si="287"/>
        <v>0</v>
      </c>
      <c r="BN419" s="167">
        <f t="shared" si="288"/>
        <v>0</v>
      </c>
    </row>
    <row r="420" spans="1:66" s="171" customFormat="1" ht="15.75" hidden="1" customHeight="1" outlineLevel="3" x14ac:dyDescent="0.3">
      <c r="A420" s="169"/>
      <c r="B420" s="169"/>
      <c r="C420" s="169"/>
      <c r="D420" s="169"/>
      <c r="E420" s="169" t="s">
        <v>2706</v>
      </c>
      <c r="F420" s="169" t="s">
        <v>3208</v>
      </c>
      <c r="G420" s="169">
        <v>68</v>
      </c>
      <c r="H420" s="169" t="s">
        <v>251</v>
      </c>
      <c r="I420" s="165">
        <f t="shared" ref="I420:I483" si="302">+J420</f>
        <v>0</v>
      </c>
      <c r="J420" s="165">
        <f t="shared" si="289"/>
        <v>0</v>
      </c>
      <c r="K420" s="150">
        <f t="shared" si="284"/>
        <v>0</v>
      </c>
      <c r="L420" s="150">
        <f t="shared" si="290"/>
        <v>0</v>
      </c>
      <c r="M420" s="166"/>
      <c r="N420" s="150"/>
      <c r="O420" s="150"/>
      <c r="P420" s="150"/>
      <c r="Q420" s="150"/>
      <c r="R420" s="150"/>
      <c r="S420" s="150"/>
      <c r="T420" s="150"/>
      <c r="U420" s="150"/>
      <c r="V420" s="150"/>
      <c r="W420" s="150"/>
      <c r="X420" s="150"/>
      <c r="Y420" s="150"/>
      <c r="Z420" s="150"/>
      <c r="AA420" s="150"/>
      <c r="AB420" s="150"/>
      <c r="AC420" s="165"/>
      <c r="AD420" s="165"/>
      <c r="AE420" s="165"/>
      <c r="AF420" s="165"/>
      <c r="AG420" s="165"/>
      <c r="AH420" s="165"/>
      <c r="AI420" s="150"/>
      <c r="AJ420" s="150"/>
      <c r="AK420" s="150"/>
      <c r="AL420" s="150"/>
      <c r="AM420" s="150"/>
      <c r="AN420" s="150"/>
      <c r="AO420" s="150"/>
      <c r="AP420" s="150"/>
      <c r="AQ420" s="150"/>
      <c r="AR420" s="150"/>
      <c r="AS420" s="150"/>
      <c r="AT420" s="150"/>
      <c r="AU420" s="150"/>
      <c r="AV420" s="150"/>
      <c r="AW420" s="150"/>
      <c r="AX420" s="150"/>
      <c r="AY420" s="150"/>
      <c r="AZ420" s="150"/>
      <c r="BA420" s="150"/>
      <c r="BB420" s="150"/>
      <c r="BC420" s="170"/>
      <c r="BD420" s="170"/>
      <c r="BE420" s="170"/>
      <c r="BF420" s="170"/>
      <c r="BG420" s="170"/>
      <c r="BH420" s="170"/>
      <c r="BI420" s="170"/>
      <c r="BJ420" s="170"/>
      <c r="BK420" s="167">
        <f t="shared" si="285"/>
        <v>0</v>
      </c>
      <c r="BL420" s="167">
        <f t="shared" si="286"/>
        <v>0</v>
      </c>
      <c r="BM420" s="167">
        <f t="shared" si="287"/>
        <v>0</v>
      </c>
      <c r="BN420" s="167">
        <f t="shared" si="288"/>
        <v>0</v>
      </c>
    </row>
    <row r="421" spans="1:66" s="171" customFormat="1" ht="15.75" hidden="1" customHeight="1" outlineLevel="3" x14ac:dyDescent="0.3">
      <c r="A421" s="169"/>
      <c r="B421" s="169"/>
      <c r="C421" s="169"/>
      <c r="D421" s="169"/>
      <c r="E421" s="169" t="s">
        <v>2706</v>
      </c>
      <c r="F421" s="169" t="s">
        <v>3208</v>
      </c>
      <c r="G421" s="169">
        <v>69</v>
      </c>
      <c r="H421" s="169" t="s">
        <v>252</v>
      </c>
      <c r="I421" s="165">
        <f t="shared" si="302"/>
        <v>4797281.8582677161</v>
      </c>
      <c r="J421" s="165">
        <f t="shared" si="289"/>
        <v>4797281.8582677161</v>
      </c>
      <c r="K421" s="150">
        <f t="shared" si="284"/>
        <v>0</v>
      </c>
      <c r="L421" s="150">
        <f>SUM(N421:BJ421)</f>
        <v>4797281.8582677161</v>
      </c>
      <c r="M421" s="166"/>
      <c r="N421" s="150"/>
      <c r="O421" s="150"/>
      <c r="P421" s="150"/>
      <c r="Q421" s="150"/>
      <c r="R421" s="150"/>
      <c r="S421" s="150"/>
      <c r="T421" s="150"/>
      <c r="U421" s="150"/>
      <c r="V421" s="150"/>
      <c r="W421" s="150"/>
      <c r="X421" s="150"/>
      <c r="Y421" s="150"/>
      <c r="Z421" s="150"/>
      <c r="AA421" s="150"/>
      <c r="AB421" s="150"/>
      <c r="AC421" s="165"/>
      <c r="AD421" s="165"/>
      <c r="AE421" s="165"/>
      <c r="AF421" s="165">
        <f>11729800-6997552+(82593/1.27)</f>
        <v>4797281.8582677161</v>
      </c>
      <c r="AG421" s="165"/>
      <c r="AH421" s="165"/>
      <c r="AI421" s="150"/>
      <c r="AJ421" s="150"/>
      <c r="AK421" s="150"/>
      <c r="AL421" s="150"/>
      <c r="AM421" s="150"/>
      <c r="AN421" s="150"/>
      <c r="AO421" s="150"/>
      <c r="AP421" s="150"/>
      <c r="AQ421" s="150"/>
      <c r="AR421" s="150"/>
      <c r="AS421" s="150"/>
      <c r="AT421" s="150"/>
      <c r="AU421" s="150"/>
      <c r="AV421" s="150"/>
      <c r="AW421" s="150"/>
      <c r="AX421" s="150"/>
      <c r="AY421" s="150"/>
      <c r="AZ421" s="150"/>
      <c r="BA421" s="150"/>
      <c r="BB421" s="150"/>
      <c r="BC421" s="170"/>
      <c r="BD421" s="170"/>
      <c r="BE421" s="170"/>
      <c r="BF421" s="170"/>
      <c r="BG421" s="170"/>
      <c r="BH421" s="170"/>
      <c r="BI421" s="170"/>
      <c r="BJ421" s="170"/>
      <c r="BK421" s="167">
        <f t="shared" si="285"/>
        <v>0</v>
      </c>
      <c r="BL421" s="167">
        <f t="shared" si="286"/>
        <v>0</v>
      </c>
      <c r="BM421" s="167">
        <f t="shared" si="287"/>
        <v>4797281.8582677161</v>
      </c>
      <c r="BN421" s="167">
        <f t="shared" si="288"/>
        <v>0</v>
      </c>
    </row>
    <row r="422" spans="1:66" s="171" customFormat="1" ht="15.75" hidden="1" customHeight="1" outlineLevel="3" x14ac:dyDescent="0.3">
      <c r="A422" s="169"/>
      <c r="B422" s="169"/>
      <c r="C422" s="169"/>
      <c r="D422" s="169"/>
      <c r="E422" s="169" t="s">
        <v>2706</v>
      </c>
      <c r="F422" s="169" t="s">
        <v>3208</v>
      </c>
      <c r="G422" s="169">
        <v>70</v>
      </c>
      <c r="H422" s="169" t="s">
        <v>253</v>
      </c>
      <c r="I422" s="165">
        <f t="shared" si="302"/>
        <v>0</v>
      </c>
      <c r="J422" s="165">
        <f t="shared" si="289"/>
        <v>0</v>
      </c>
      <c r="K422" s="150">
        <f t="shared" si="284"/>
        <v>0</v>
      </c>
      <c r="L422" s="150">
        <f t="shared" si="290"/>
        <v>0</v>
      </c>
      <c r="M422" s="166"/>
      <c r="N422" s="150"/>
      <c r="O422" s="150"/>
      <c r="P422" s="150"/>
      <c r="Q422" s="150"/>
      <c r="R422" s="150"/>
      <c r="S422" s="150"/>
      <c r="T422" s="150"/>
      <c r="U422" s="150"/>
      <c r="V422" s="150"/>
      <c r="W422" s="150"/>
      <c r="X422" s="150"/>
      <c r="Y422" s="150"/>
      <c r="Z422" s="150"/>
      <c r="AA422" s="150"/>
      <c r="AB422" s="150"/>
      <c r="AC422" s="165"/>
      <c r="AD422" s="165"/>
      <c r="AE422" s="165"/>
      <c r="AF422" s="165"/>
      <c r="AG422" s="165"/>
      <c r="AH422" s="165"/>
      <c r="AI422" s="150"/>
      <c r="AJ422" s="150"/>
      <c r="AK422" s="150"/>
      <c r="AL422" s="150"/>
      <c r="AM422" s="150"/>
      <c r="AN422" s="150"/>
      <c r="AO422" s="150"/>
      <c r="AP422" s="150"/>
      <c r="AQ422" s="150"/>
      <c r="AR422" s="150"/>
      <c r="AS422" s="150"/>
      <c r="AT422" s="150"/>
      <c r="AU422" s="150"/>
      <c r="AV422" s="150"/>
      <c r="AW422" s="150"/>
      <c r="AX422" s="150"/>
      <c r="AY422" s="150"/>
      <c r="AZ422" s="150"/>
      <c r="BA422" s="150"/>
      <c r="BB422" s="150"/>
      <c r="BC422" s="170"/>
      <c r="BD422" s="170"/>
      <c r="BE422" s="170"/>
      <c r="BF422" s="170"/>
      <c r="BG422" s="170"/>
      <c r="BH422" s="170"/>
      <c r="BI422" s="170"/>
      <c r="BJ422" s="170"/>
      <c r="BK422" s="167">
        <f t="shared" si="285"/>
        <v>0</v>
      </c>
      <c r="BL422" s="167">
        <f t="shared" si="286"/>
        <v>0</v>
      </c>
      <c r="BM422" s="167">
        <f t="shared" si="287"/>
        <v>0</v>
      </c>
      <c r="BN422" s="167">
        <f t="shared" si="288"/>
        <v>0</v>
      </c>
    </row>
    <row r="423" spans="1:66" s="171" customFormat="1" ht="15.75" hidden="1" customHeight="1" outlineLevel="3" x14ac:dyDescent="0.3">
      <c r="A423" s="169"/>
      <c r="B423" s="169"/>
      <c r="C423" s="169"/>
      <c r="D423" s="169"/>
      <c r="E423" s="169" t="s">
        <v>2706</v>
      </c>
      <c r="F423" s="169" t="s">
        <v>3208</v>
      </c>
      <c r="G423" s="169">
        <v>71</v>
      </c>
      <c r="H423" s="169" t="s">
        <v>254</v>
      </c>
      <c r="I423" s="165">
        <f t="shared" si="302"/>
        <v>0</v>
      </c>
      <c r="J423" s="165">
        <f t="shared" si="289"/>
        <v>0</v>
      </c>
      <c r="K423" s="150">
        <f t="shared" si="284"/>
        <v>0</v>
      </c>
      <c r="L423" s="150">
        <f t="shared" si="290"/>
        <v>0</v>
      </c>
      <c r="M423" s="166"/>
      <c r="N423" s="150"/>
      <c r="O423" s="150"/>
      <c r="P423" s="150"/>
      <c r="Q423" s="150"/>
      <c r="R423" s="150"/>
      <c r="S423" s="150"/>
      <c r="T423" s="150"/>
      <c r="U423" s="150"/>
      <c r="V423" s="150"/>
      <c r="W423" s="150"/>
      <c r="X423" s="150"/>
      <c r="Y423" s="150"/>
      <c r="Z423" s="150"/>
      <c r="AA423" s="150"/>
      <c r="AB423" s="150"/>
      <c r="AC423" s="165"/>
      <c r="AD423" s="165"/>
      <c r="AE423" s="165"/>
      <c r="AF423" s="165"/>
      <c r="AG423" s="165"/>
      <c r="AH423" s="165"/>
      <c r="AI423" s="150"/>
      <c r="AJ423" s="150"/>
      <c r="AK423" s="150"/>
      <c r="AL423" s="150"/>
      <c r="AM423" s="150"/>
      <c r="AN423" s="150"/>
      <c r="AO423" s="150"/>
      <c r="AP423" s="150"/>
      <c r="AQ423" s="150"/>
      <c r="AR423" s="150"/>
      <c r="AS423" s="150"/>
      <c r="AT423" s="150"/>
      <c r="AU423" s="150"/>
      <c r="AV423" s="150"/>
      <c r="AW423" s="150"/>
      <c r="AX423" s="150"/>
      <c r="AY423" s="150"/>
      <c r="AZ423" s="150"/>
      <c r="BA423" s="150"/>
      <c r="BB423" s="150"/>
      <c r="BC423" s="170"/>
      <c r="BD423" s="170"/>
      <c r="BE423" s="170"/>
      <c r="BF423" s="170"/>
      <c r="BG423" s="170"/>
      <c r="BH423" s="170"/>
      <c r="BI423" s="170"/>
      <c r="BJ423" s="170"/>
      <c r="BK423" s="167">
        <f t="shared" si="285"/>
        <v>0</v>
      </c>
      <c r="BL423" s="167">
        <f t="shared" si="286"/>
        <v>0</v>
      </c>
      <c r="BM423" s="167">
        <f t="shared" si="287"/>
        <v>0</v>
      </c>
      <c r="BN423" s="167">
        <f t="shared" si="288"/>
        <v>0</v>
      </c>
    </row>
    <row r="424" spans="1:66" s="171" customFormat="1" ht="15.75" hidden="1" customHeight="1" outlineLevel="3" x14ac:dyDescent="0.3">
      <c r="A424" s="169"/>
      <c r="B424" s="169"/>
      <c r="C424" s="169"/>
      <c r="D424" s="169"/>
      <c r="E424" s="169" t="s">
        <v>2706</v>
      </c>
      <c r="F424" s="169" t="s">
        <v>3208</v>
      </c>
      <c r="G424" s="169">
        <v>73</v>
      </c>
      <c r="H424" s="169" t="s">
        <v>257</v>
      </c>
      <c r="I424" s="165">
        <f t="shared" si="302"/>
        <v>0</v>
      </c>
      <c r="J424" s="165">
        <f t="shared" si="289"/>
        <v>0</v>
      </c>
      <c r="K424" s="150">
        <f t="shared" si="284"/>
        <v>0</v>
      </c>
      <c r="L424" s="150">
        <f t="shared" si="290"/>
        <v>0</v>
      </c>
      <c r="M424" s="166"/>
      <c r="N424" s="150"/>
      <c r="O424" s="150"/>
      <c r="P424" s="150"/>
      <c r="Q424" s="150"/>
      <c r="R424" s="150"/>
      <c r="S424" s="150"/>
      <c r="T424" s="150"/>
      <c r="U424" s="150"/>
      <c r="V424" s="150"/>
      <c r="W424" s="150"/>
      <c r="X424" s="150"/>
      <c r="Y424" s="150"/>
      <c r="Z424" s="150"/>
      <c r="AA424" s="150"/>
      <c r="AB424" s="150"/>
      <c r="AC424" s="165"/>
      <c r="AD424" s="165"/>
      <c r="AE424" s="165"/>
      <c r="AF424" s="165"/>
      <c r="AG424" s="165"/>
      <c r="AH424" s="165"/>
      <c r="AI424" s="150"/>
      <c r="AJ424" s="150"/>
      <c r="AK424" s="150"/>
      <c r="AL424" s="150"/>
      <c r="AM424" s="150"/>
      <c r="AN424" s="150"/>
      <c r="AO424" s="150"/>
      <c r="AP424" s="150"/>
      <c r="AQ424" s="150"/>
      <c r="AR424" s="150"/>
      <c r="AS424" s="150"/>
      <c r="AT424" s="150"/>
      <c r="AU424" s="150"/>
      <c r="AV424" s="150"/>
      <c r="AW424" s="150"/>
      <c r="AX424" s="150"/>
      <c r="AY424" s="150"/>
      <c r="AZ424" s="150"/>
      <c r="BA424" s="150"/>
      <c r="BB424" s="150"/>
      <c r="BC424" s="170"/>
      <c r="BD424" s="170"/>
      <c r="BE424" s="170"/>
      <c r="BF424" s="170"/>
      <c r="BG424" s="170"/>
      <c r="BH424" s="170"/>
      <c r="BI424" s="170"/>
      <c r="BJ424" s="170"/>
      <c r="BK424" s="167">
        <f t="shared" si="285"/>
        <v>0</v>
      </c>
      <c r="BL424" s="167">
        <f t="shared" si="286"/>
        <v>0</v>
      </c>
      <c r="BM424" s="167">
        <f t="shared" si="287"/>
        <v>0</v>
      </c>
      <c r="BN424" s="167">
        <f t="shared" si="288"/>
        <v>0</v>
      </c>
    </row>
    <row r="425" spans="1:66" s="171" customFormat="1" ht="15.75" hidden="1" customHeight="1" outlineLevel="3" x14ac:dyDescent="0.3">
      <c r="A425" s="169"/>
      <c r="B425" s="169"/>
      <c r="C425" s="169"/>
      <c r="D425" s="169"/>
      <c r="E425" s="169" t="s">
        <v>2706</v>
      </c>
      <c r="F425" s="169" t="s">
        <v>3208</v>
      </c>
      <c r="G425" s="169">
        <v>74</v>
      </c>
      <c r="H425" s="169" t="s">
        <v>259</v>
      </c>
      <c r="I425" s="165">
        <f t="shared" si="302"/>
        <v>0</v>
      </c>
      <c r="J425" s="165">
        <f t="shared" si="289"/>
        <v>0</v>
      </c>
      <c r="K425" s="150">
        <f t="shared" si="284"/>
        <v>0</v>
      </c>
      <c r="L425" s="150">
        <f t="shared" si="290"/>
        <v>0</v>
      </c>
      <c r="M425" s="166"/>
      <c r="N425" s="150"/>
      <c r="O425" s="150"/>
      <c r="P425" s="150"/>
      <c r="Q425" s="150"/>
      <c r="R425" s="150"/>
      <c r="S425" s="150"/>
      <c r="T425" s="150"/>
      <c r="U425" s="150"/>
      <c r="V425" s="150"/>
      <c r="W425" s="150"/>
      <c r="X425" s="150"/>
      <c r="Y425" s="150"/>
      <c r="Z425" s="150"/>
      <c r="AA425" s="150"/>
      <c r="AB425" s="150"/>
      <c r="AC425" s="165"/>
      <c r="AD425" s="165"/>
      <c r="AE425" s="165"/>
      <c r="AF425" s="165"/>
      <c r="AG425" s="165"/>
      <c r="AH425" s="165"/>
      <c r="AI425" s="150"/>
      <c r="AJ425" s="150"/>
      <c r="AK425" s="150"/>
      <c r="AL425" s="150"/>
      <c r="AM425" s="150"/>
      <c r="AN425" s="150"/>
      <c r="AO425" s="150"/>
      <c r="AP425" s="150"/>
      <c r="AQ425" s="150"/>
      <c r="AR425" s="150"/>
      <c r="AS425" s="150"/>
      <c r="AT425" s="150"/>
      <c r="AU425" s="150"/>
      <c r="AV425" s="150"/>
      <c r="AW425" s="150"/>
      <c r="AX425" s="150"/>
      <c r="AY425" s="150"/>
      <c r="AZ425" s="150"/>
      <c r="BA425" s="150"/>
      <c r="BB425" s="150"/>
      <c r="BC425" s="170"/>
      <c r="BD425" s="170"/>
      <c r="BE425" s="170"/>
      <c r="BF425" s="170"/>
      <c r="BG425" s="170"/>
      <c r="BH425" s="170"/>
      <c r="BI425" s="170"/>
      <c r="BJ425" s="170"/>
      <c r="BK425" s="167">
        <f t="shared" si="285"/>
        <v>0</v>
      </c>
      <c r="BL425" s="167">
        <f t="shared" si="286"/>
        <v>0</v>
      </c>
      <c r="BM425" s="167">
        <f t="shared" si="287"/>
        <v>0</v>
      </c>
      <c r="BN425" s="167">
        <f t="shared" si="288"/>
        <v>0</v>
      </c>
    </row>
    <row r="426" spans="1:66" s="171" customFormat="1" ht="15.75" hidden="1" customHeight="1" outlineLevel="3" x14ac:dyDescent="0.3">
      <c r="A426" s="169"/>
      <c r="B426" s="169"/>
      <c r="C426" s="169"/>
      <c r="D426" s="169"/>
      <c r="E426" s="169" t="s">
        <v>2706</v>
      </c>
      <c r="F426" s="169" t="s">
        <v>3208</v>
      </c>
      <c r="G426" s="169">
        <v>75</v>
      </c>
      <c r="H426" s="169" t="s">
        <v>260</v>
      </c>
      <c r="I426" s="165">
        <f t="shared" si="302"/>
        <v>0</v>
      </c>
      <c r="J426" s="165">
        <f t="shared" si="289"/>
        <v>0</v>
      </c>
      <c r="K426" s="150">
        <f t="shared" si="284"/>
        <v>0</v>
      </c>
      <c r="L426" s="150">
        <f t="shared" si="290"/>
        <v>0</v>
      </c>
      <c r="M426" s="166"/>
      <c r="N426" s="150"/>
      <c r="O426" s="150"/>
      <c r="P426" s="150"/>
      <c r="Q426" s="150"/>
      <c r="R426" s="150"/>
      <c r="S426" s="150"/>
      <c r="T426" s="150"/>
      <c r="U426" s="150"/>
      <c r="V426" s="150"/>
      <c r="W426" s="150"/>
      <c r="X426" s="150"/>
      <c r="Y426" s="150"/>
      <c r="Z426" s="150"/>
      <c r="AA426" s="150"/>
      <c r="AB426" s="150"/>
      <c r="AC426" s="165"/>
      <c r="AD426" s="165"/>
      <c r="AE426" s="165"/>
      <c r="AF426" s="165"/>
      <c r="AG426" s="165"/>
      <c r="AH426" s="165"/>
      <c r="AI426" s="150"/>
      <c r="AJ426" s="150"/>
      <c r="AK426" s="150"/>
      <c r="AL426" s="150"/>
      <c r="AM426" s="150"/>
      <c r="AN426" s="150"/>
      <c r="AO426" s="150"/>
      <c r="AP426" s="150"/>
      <c r="AQ426" s="150"/>
      <c r="AR426" s="150"/>
      <c r="AS426" s="150"/>
      <c r="AT426" s="150"/>
      <c r="AU426" s="150"/>
      <c r="AV426" s="150"/>
      <c r="AW426" s="150"/>
      <c r="AX426" s="150"/>
      <c r="AY426" s="150"/>
      <c r="AZ426" s="150"/>
      <c r="BA426" s="150"/>
      <c r="BB426" s="150"/>
      <c r="BC426" s="170"/>
      <c r="BD426" s="170"/>
      <c r="BE426" s="170"/>
      <c r="BF426" s="170"/>
      <c r="BG426" s="170"/>
      <c r="BH426" s="170"/>
      <c r="BI426" s="170"/>
      <c r="BJ426" s="170"/>
      <c r="BK426" s="167">
        <f t="shared" si="285"/>
        <v>0</v>
      </c>
      <c r="BL426" s="167">
        <f t="shared" si="286"/>
        <v>0</v>
      </c>
      <c r="BM426" s="167">
        <f t="shared" si="287"/>
        <v>0</v>
      </c>
      <c r="BN426" s="167">
        <f t="shared" si="288"/>
        <v>0</v>
      </c>
    </row>
    <row r="427" spans="1:66" s="171" customFormat="1" ht="15.75" hidden="1" customHeight="1" outlineLevel="3" x14ac:dyDescent="0.3">
      <c r="A427" s="169"/>
      <c r="B427" s="169"/>
      <c r="C427" s="169"/>
      <c r="D427" s="169"/>
      <c r="E427" s="169" t="s">
        <v>2706</v>
      </c>
      <c r="F427" s="169" t="s">
        <v>3208</v>
      </c>
      <c r="G427" s="169">
        <v>76</v>
      </c>
      <c r="H427" s="169" t="s">
        <v>261</v>
      </c>
      <c r="I427" s="165">
        <f t="shared" si="302"/>
        <v>0</v>
      </c>
      <c r="J427" s="165">
        <f t="shared" ref="J427:J458" si="303">SUM(N427:AO427)</f>
        <v>0</v>
      </c>
      <c r="K427" s="150">
        <f t="shared" si="284"/>
        <v>0</v>
      </c>
      <c r="L427" s="150">
        <f t="shared" ref="L427:L458" si="304">SUM(N427:BJ427)</f>
        <v>0</v>
      </c>
      <c r="M427" s="166"/>
      <c r="N427" s="150"/>
      <c r="O427" s="150"/>
      <c r="P427" s="150"/>
      <c r="Q427" s="150"/>
      <c r="R427" s="150"/>
      <c r="S427" s="150"/>
      <c r="T427" s="150"/>
      <c r="U427" s="150"/>
      <c r="V427" s="150"/>
      <c r="W427" s="150"/>
      <c r="X427" s="150"/>
      <c r="Y427" s="150"/>
      <c r="Z427" s="150"/>
      <c r="AA427" s="150"/>
      <c r="AB427" s="150"/>
      <c r="AC427" s="165"/>
      <c r="AD427" s="165"/>
      <c r="AE427" s="165"/>
      <c r="AF427" s="165"/>
      <c r="AG427" s="165"/>
      <c r="AH427" s="165"/>
      <c r="AI427" s="150"/>
      <c r="AJ427" s="150"/>
      <c r="AK427" s="150"/>
      <c r="AL427" s="150"/>
      <c r="AM427" s="150"/>
      <c r="AN427" s="150"/>
      <c r="AO427" s="150"/>
      <c r="AP427" s="150"/>
      <c r="AQ427" s="150"/>
      <c r="AR427" s="150"/>
      <c r="AS427" s="150"/>
      <c r="AT427" s="150"/>
      <c r="AU427" s="150"/>
      <c r="AV427" s="150"/>
      <c r="AW427" s="150"/>
      <c r="AX427" s="150"/>
      <c r="AY427" s="150"/>
      <c r="AZ427" s="150"/>
      <c r="BA427" s="150"/>
      <c r="BB427" s="150"/>
      <c r="BC427" s="170"/>
      <c r="BD427" s="170"/>
      <c r="BE427" s="170"/>
      <c r="BF427" s="170"/>
      <c r="BG427" s="170"/>
      <c r="BH427" s="170"/>
      <c r="BI427" s="170"/>
      <c r="BJ427" s="170"/>
      <c r="BK427" s="167">
        <f t="shared" si="285"/>
        <v>0</v>
      </c>
      <c r="BL427" s="167">
        <f t="shared" si="286"/>
        <v>0</v>
      </c>
      <c r="BM427" s="167">
        <f t="shared" si="287"/>
        <v>0</v>
      </c>
      <c r="BN427" s="167">
        <f t="shared" si="288"/>
        <v>0</v>
      </c>
    </row>
    <row r="428" spans="1:66" s="171" customFormat="1" ht="15.75" hidden="1" customHeight="1" outlineLevel="3" x14ac:dyDescent="0.3">
      <c r="A428" s="169"/>
      <c r="B428" s="169"/>
      <c r="C428" s="169"/>
      <c r="D428" s="169"/>
      <c r="E428" s="169" t="s">
        <v>2706</v>
      </c>
      <c r="F428" s="169" t="s">
        <v>3208</v>
      </c>
      <c r="G428" s="169">
        <v>77</v>
      </c>
      <c r="H428" s="169" t="s">
        <v>262</v>
      </c>
      <c r="I428" s="165">
        <f t="shared" si="302"/>
        <v>0</v>
      </c>
      <c r="J428" s="165">
        <f t="shared" si="303"/>
        <v>0</v>
      </c>
      <c r="K428" s="150">
        <f t="shared" si="284"/>
        <v>0</v>
      </c>
      <c r="L428" s="150">
        <f t="shared" si="304"/>
        <v>0</v>
      </c>
      <c r="M428" s="166"/>
      <c r="N428" s="150"/>
      <c r="O428" s="150"/>
      <c r="P428" s="150"/>
      <c r="Q428" s="150"/>
      <c r="R428" s="150"/>
      <c r="S428" s="150"/>
      <c r="T428" s="150"/>
      <c r="U428" s="150"/>
      <c r="V428" s="150"/>
      <c r="W428" s="150"/>
      <c r="X428" s="150"/>
      <c r="Y428" s="150"/>
      <c r="Z428" s="150"/>
      <c r="AA428" s="150"/>
      <c r="AB428" s="150"/>
      <c r="AC428" s="165"/>
      <c r="AD428" s="165"/>
      <c r="AE428" s="165"/>
      <c r="AF428" s="165"/>
      <c r="AG428" s="165"/>
      <c r="AH428" s="165"/>
      <c r="AI428" s="150"/>
      <c r="AJ428" s="150"/>
      <c r="AK428" s="150"/>
      <c r="AL428" s="150"/>
      <c r="AM428" s="150"/>
      <c r="AN428" s="150"/>
      <c r="AO428" s="150"/>
      <c r="AP428" s="150"/>
      <c r="AQ428" s="150"/>
      <c r="AR428" s="150"/>
      <c r="AS428" s="150"/>
      <c r="AT428" s="150"/>
      <c r="AU428" s="150"/>
      <c r="AV428" s="150"/>
      <c r="AW428" s="150"/>
      <c r="AX428" s="150"/>
      <c r="AY428" s="150"/>
      <c r="AZ428" s="150"/>
      <c r="BA428" s="150"/>
      <c r="BB428" s="150"/>
      <c r="BC428" s="170"/>
      <c r="BD428" s="170"/>
      <c r="BE428" s="170"/>
      <c r="BF428" s="170"/>
      <c r="BG428" s="170"/>
      <c r="BH428" s="170"/>
      <c r="BI428" s="170"/>
      <c r="BJ428" s="170"/>
      <c r="BK428" s="167">
        <f t="shared" si="285"/>
        <v>0</v>
      </c>
      <c r="BL428" s="167">
        <f t="shared" si="286"/>
        <v>0</v>
      </c>
      <c r="BM428" s="167">
        <f t="shared" si="287"/>
        <v>0</v>
      </c>
      <c r="BN428" s="167">
        <f t="shared" si="288"/>
        <v>0</v>
      </c>
    </row>
    <row r="429" spans="1:66" s="171" customFormat="1" ht="15.75" hidden="1" customHeight="1" outlineLevel="3" x14ac:dyDescent="0.3">
      <c r="A429" s="169"/>
      <c r="B429" s="169"/>
      <c r="C429" s="169"/>
      <c r="D429" s="169"/>
      <c r="E429" s="169" t="s">
        <v>2706</v>
      </c>
      <c r="F429" s="169" t="s">
        <v>3208</v>
      </c>
      <c r="G429" s="169">
        <v>78</v>
      </c>
      <c r="H429" s="169" t="s">
        <v>263</v>
      </c>
      <c r="I429" s="165">
        <f t="shared" si="302"/>
        <v>0</v>
      </c>
      <c r="J429" s="165">
        <f t="shared" si="303"/>
        <v>0</v>
      </c>
      <c r="K429" s="150">
        <f t="shared" si="284"/>
        <v>0</v>
      </c>
      <c r="L429" s="150">
        <f t="shared" si="304"/>
        <v>0</v>
      </c>
      <c r="M429" s="166"/>
      <c r="N429" s="150"/>
      <c r="O429" s="150"/>
      <c r="P429" s="150"/>
      <c r="Q429" s="150"/>
      <c r="R429" s="150"/>
      <c r="S429" s="150"/>
      <c r="T429" s="150"/>
      <c r="U429" s="150"/>
      <c r="V429" s="150"/>
      <c r="W429" s="150"/>
      <c r="X429" s="150"/>
      <c r="Y429" s="150"/>
      <c r="Z429" s="150"/>
      <c r="AA429" s="150"/>
      <c r="AB429" s="150"/>
      <c r="AC429" s="165"/>
      <c r="AD429" s="165"/>
      <c r="AE429" s="165"/>
      <c r="AF429" s="165"/>
      <c r="AG429" s="165"/>
      <c r="AH429" s="165"/>
      <c r="AI429" s="150"/>
      <c r="AJ429" s="150"/>
      <c r="AK429" s="150"/>
      <c r="AL429" s="150"/>
      <c r="AM429" s="150"/>
      <c r="AN429" s="150"/>
      <c r="AO429" s="150"/>
      <c r="AP429" s="150"/>
      <c r="AQ429" s="150"/>
      <c r="AR429" s="150"/>
      <c r="AS429" s="150"/>
      <c r="AT429" s="150"/>
      <c r="AU429" s="150"/>
      <c r="AV429" s="150"/>
      <c r="AW429" s="150"/>
      <c r="AX429" s="150"/>
      <c r="AY429" s="150"/>
      <c r="AZ429" s="150"/>
      <c r="BA429" s="150"/>
      <c r="BB429" s="150"/>
      <c r="BC429" s="170"/>
      <c r="BD429" s="170"/>
      <c r="BE429" s="170"/>
      <c r="BF429" s="170"/>
      <c r="BG429" s="170"/>
      <c r="BH429" s="170"/>
      <c r="BI429" s="170"/>
      <c r="BJ429" s="170"/>
      <c r="BK429" s="167">
        <f t="shared" si="285"/>
        <v>0</v>
      </c>
      <c r="BL429" s="167">
        <f t="shared" si="286"/>
        <v>0</v>
      </c>
      <c r="BM429" s="167">
        <f t="shared" si="287"/>
        <v>0</v>
      </c>
      <c r="BN429" s="167">
        <f t="shared" si="288"/>
        <v>0</v>
      </c>
    </row>
    <row r="430" spans="1:66" s="171" customFormat="1" ht="15.75" hidden="1" customHeight="1" outlineLevel="3" x14ac:dyDescent="0.3">
      <c r="A430" s="169"/>
      <c r="B430" s="169"/>
      <c r="C430" s="169"/>
      <c r="D430" s="169"/>
      <c r="E430" s="169" t="s">
        <v>2706</v>
      </c>
      <c r="F430" s="169" t="s">
        <v>3208</v>
      </c>
      <c r="G430" s="169">
        <v>79</v>
      </c>
      <c r="H430" s="169" t="s">
        <v>264</v>
      </c>
      <c r="I430" s="165">
        <f t="shared" si="302"/>
        <v>0</v>
      </c>
      <c r="J430" s="165">
        <f t="shared" si="303"/>
        <v>0</v>
      </c>
      <c r="K430" s="150">
        <f t="shared" si="284"/>
        <v>0</v>
      </c>
      <c r="L430" s="150">
        <f t="shared" si="304"/>
        <v>0</v>
      </c>
      <c r="M430" s="166"/>
      <c r="N430" s="150"/>
      <c r="O430" s="150"/>
      <c r="P430" s="150"/>
      <c r="Q430" s="150"/>
      <c r="R430" s="150"/>
      <c r="S430" s="150"/>
      <c r="T430" s="150"/>
      <c r="U430" s="150"/>
      <c r="V430" s="150"/>
      <c r="W430" s="150"/>
      <c r="X430" s="150"/>
      <c r="Y430" s="150"/>
      <c r="Z430" s="150"/>
      <c r="AA430" s="150"/>
      <c r="AB430" s="150"/>
      <c r="AC430" s="165"/>
      <c r="AD430" s="165"/>
      <c r="AE430" s="165"/>
      <c r="AF430" s="165"/>
      <c r="AG430" s="165"/>
      <c r="AH430" s="165"/>
      <c r="AI430" s="150"/>
      <c r="AJ430" s="150"/>
      <c r="AK430" s="150"/>
      <c r="AL430" s="150"/>
      <c r="AM430" s="150"/>
      <c r="AN430" s="150"/>
      <c r="AO430" s="150"/>
      <c r="AP430" s="150"/>
      <c r="AQ430" s="150"/>
      <c r="AR430" s="150"/>
      <c r="AS430" s="150"/>
      <c r="AT430" s="150"/>
      <c r="AU430" s="150"/>
      <c r="AV430" s="150"/>
      <c r="AW430" s="150"/>
      <c r="AX430" s="150"/>
      <c r="AY430" s="150"/>
      <c r="AZ430" s="150"/>
      <c r="BA430" s="150"/>
      <c r="BB430" s="150"/>
      <c r="BC430" s="170"/>
      <c r="BD430" s="170"/>
      <c r="BE430" s="170"/>
      <c r="BF430" s="170"/>
      <c r="BG430" s="170"/>
      <c r="BH430" s="170"/>
      <c r="BI430" s="170"/>
      <c r="BJ430" s="170"/>
      <c r="BK430" s="167">
        <f t="shared" si="285"/>
        <v>0</v>
      </c>
      <c r="BL430" s="167">
        <f t="shared" si="286"/>
        <v>0</v>
      </c>
      <c r="BM430" s="167">
        <f t="shared" si="287"/>
        <v>0</v>
      </c>
      <c r="BN430" s="167">
        <f t="shared" si="288"/>
        <v>0</v>
      </c>
    </row>
    <row r="431" spans="1:66" s="171" customFormat="1" ht="15.75" hidden="1" customHeight="1" outlineLevel="3" x14ac:dyDescent="0.3">
      <c r="A431" s="169"/>
      <c r="B431" s="169"/>
      <c r="C431" s="169"/>
      <c r="D431" s="169"/>
      <c r="E431" s="169" t="s">
        <v>2706</v>
      </c>
      <c r="F431" s="169" t="s">
        <v>3208</v>
      </c>
      <c r="G431" s="169">
        <v>80</v>
      </c>
      <c r="H431" s="169" t="s">
        <v>265</v>
      </c>
      <c r="I431" s="165">
        <f t="shared" si="302"/>
        <v>0</v>
      </c>
      <c r="J431" s="165">
        <f t="shared" si="303"/>
        <v>0</v>
      </c>
      <c r="K431" s="150">
        <f t="shared" si="284"/>
        <v>0</v>
      </c>
      <c r="L431" s="150">
        <f t="shared" si="304"/>
        <v>0</v>
      </c>
      <c r="M431" s="166"/>
      <c r="N431" s="150"/>
      <c r="O431" s="150"/>
      <c r="P431" s="150"/>
      <c r="Q431" s="150"/>
      <c r="R431" s="150"/>
      <c r="S431" s="150"/>
      <c r="T431" s="150"/>
      <c r="U431" s="150"/>
      <c r="V431" s="150"/>
      <c r="W431" s="150"/>
      <c r="X431" s="150"/>
      <c r="Y431" s="150"/>
      <c r="Z431" s="150"/>
      <c r="AA431" s="150"/>
      <c r="AB431" s="150"/>
      <c r="AC431" s="165"/>
      <c r="AD431" s="165"/>
      <c r="AE431" s="165"/>
      <c r="AF431" s="165"/>
      <c r="AG431" s="165"/>
      <c r="AH431" s="165"/>
      <c r="AI431" s="150"/>
      <c r="AJ431" s="150"/>
      <c r="AK431" s="150"/>
      <c r="AL431" s="150"/>
      <c r="AM431" s="150"/>
      <c r="AN431" s="150"/>
      <c r="AO431" s="150"/>
      <c r="AP431" s="150"/>
      <c r="AQ431" s="150"/>
      <c r="AR431" s="150"/>
      <c r="AS431" s="150"/>
      <c r="AT431" s="150"/>
      <c r="AU431" s="150"/>
      <c r="AV431" s="150"/>
      <c r="AW431" s="150"/>
      <c r="AX431" s="150"/>
      <c r="AY431" s="150"/>
      <c r="AZ431" s="150"/>
      <c r="BA431" s="150"/>
      <c r="BB431" s="150"/>
      <c r="BC431" s="170"/>
      <c r="BD431" s="170"/>
      <c r="BE431" s="170"/>
      <c r="BF431" s="170"/>
      <c r="BG431" s="170"/>
      <c r="BH431" s="170"/>
      <c r="BI431" s="170"/>
      <c r="BJ431" s="170"/>
      <c r="BK431" s="167">
        <f t="shared" si="285"/>
        <v>0</v>
      </c>
      <c r="BL431" s="167">
        <f t="shared" si="286"/>
        <v>0</v>
      </c>
      <c r="BM431" s="167">
        <f t="shared" si="287"/>
        <v>0</v>
      </c>
      <c r="BN431" s="167">
        <f t="shared" si="288"/>
        <v>0</v>
      </c>
    </row>
    <row r="432" spans="1:66" s="171" customFormat="1" ht="15.75" hidden="1" customHeight="1" outlineLevel="3" x14ac:dyDescent="0.3">
      <c r="A432" s="169"/>
      <c r="B432" s="169"/>
      <c r="C432" s="169"/>
      <c r="D432" s="169"/>
      <c r="E432" s="169" t="s">
        <v>2706</v>
      </c>
      <c r="F432" s="169" t="s">
        <v>3208</v>
      </c>
      <c r="G432" s="169">
        <v>81</v>
      </c>
      <c r="H432" s="169" t="s">
        <v>266</v>
      </c>
      <c r="I432" s="165">
        <f t="shared" si="302"/>
        <v>0</v>
      </c>
      <c r="J432" s="165">
        <f t="shared" si="303"/>
        <v>0</v>
      </c>
      <c r="K432" s="150">
        <f t="shared" si="284"/>
        <v>0</v>
      </c>
      <c r="L432" s="150">
        <f t="shared" si="304"/>
        <v>0</v>
      </c>
      <c r="M432" s="166"/>
      <c r="N432" s="150"/>
      <c r="O432" s="150"/>
      <c r="P432" s="150"/>
      <c r="Q432" s="150"/>
      <c r="R432" s="150"/>
      <c r="S432" s="150"/>
      <c r="T432" s="150"/>
      <c r="U432" s="150"/>
      <c r="V432" s="150"/>
      <c r="W432" s="150"/>
      <c r="X432" s="150"/>
      <c r="Y432" s="150"/>
      <c r="Z432" s="150"/>
      <c r="AA432" s="150"/>
      <c r="AB432" s="150"/>
      <c r="AC432" s="165"/>
      <c r="AD432" s="165"/>
      <c r="AE432" s="165"/>
      <c r="AF432" s="165"/>
      <c r="AG432" s="165"/>
      <c r="AH432" s="165"/>
      <c r="AI432" s="150"/>
      <c r="AJ432" s="150"/>
      <c r="AK432" s="150"/>
      <c r="AL432" s="150"/>
      <c r="AM432" s="150"/>
      <c r="AN432" s="150"/>
      <c r="AO432" s="150"/>
      <c r="AP432" s="150"/>
      <c r="AQ432" s="150"/>
      <c r="AR432" s="150"/>
      <c r="AS432" s="150"/>
      <c r="AT432" s="150"/>
      <c r="AU432" s="150"/>
      <c r="AV432" s="150"/>
      <c r="AW432" s="150"/>
      <c r="AX432" s="150"/>
      <c r="AY432" s="150"/>
      <c r="AZ432" s="150"/>
      <c r="BA432" s="150"/>
      <c r="BB432" s="150"/>
      <c r="BC432" s="170"/>
      <c r="BD432" s="170"/>
      <c r="BE432" s="170"/>
      <c r="BF432" s="170"/>
      <c r="BG432" s="170"/>
      <c r="BH432" s="170"/>
      <c r="BI432" s="170"/>
      <c r="BJ432" s="170"/>
      <c r="BK432" s="167">
        <f t="shared" si="285"/>
        <v>0</v>
      </c>
      <c r="BL432" s="167">
        <f t="shared" si="286"/>
        <v>0</v>
      </c>
      <c r="BM432" s="167">
        <f t="shared" si="287"/>
        <v>0</v>
      </c>
      <c r="BN432" s="167">
        <f t="shared" si="288"/>
        <v>0</v>
      </c>
    </row>
    <row r="433" spans="1:66" s="171" customFormat="1" ht="15.75" hidden="1" customHeight="1" outlineLevel="3" x14ac:dyDescent="0.3">
      <c r="A433" s="169"/>
      <c r="B433" s="169"/>
      <c r="C433" s="169"/>
      <c r="D433" s="169"/>
      <c r="E433" s="169" t="s">
        <v>2706</v>
      </c>
      <c r="F433" s="169" t="s">
        <v>3208</v>
      </c>
      <c r="G433" s="169">
        <v>84</v>
      </c>
      <c r="H433" s="169" t="s">
        <v>271</v>
      </c>
      <c r="I433" s="165">
        <f t="shared" si="302"/>
        <v>0</v>
      </c>
      <c r="J433" s="165">
        <f t="shared" si="303"/>
        <v>0</v>
      </c>
      <c r="K433" s="150">
        <f t="shared" si="284"/>
        <v>0</v>
      </c>
      <c r="L433" s="150">
        <f t="shared" si="304"/>
        <v>0</v>
      </c>
      <c r="M433" s="166"/>
      <c r="N433" s="150"/>
      <c r="O433" s="150"/>
      <c r="P433" s="150"/>
      <c r="Q433" s="150"/>
      <c r="R433" s="150"/>
      <c r="S433" s="150"/>
      <c r="T433" s="150"/>
      <c r="U433" s="150"/>
      <c r="V433" s="150"/>
      <c r="W433" s="150"/>
      <c r="X433" s="150"/>
      <c r="Y433" s="150"/>
      <c r="Z433" s="150"/>
      <c r="AA433" s="150"/>
      <c r="AB433" s="150"/>
      <c r="AC433" s="165"/>
      <c r="AD433" s="165"/>
      <c r="AE433" s="165"/>
      <c r="AF433" s="165"/>
      <c r="AG433" s="165"/>
      <c r="AH433" s="165"/>
      <c r="AI433" s="150"/>
      <c r="AJ433" s="150"/>
      <c r="AK433" s="150"/>
      <c r="AL433" s="150"/>
      <c r="AM433" s="150"/>
      <c r="AN433" s="150"/>
      <c r="AO433" s="150"/>
      <c r="AP433" s="150"/>
      <c r="AQ433" s="150"/>
      <c r="AR433" s="150"/>
      <c r="AS433" s="150"/>
      <c r="AT433" s="150"/>
      <c r="AU433" s="150"/>
      <c r="AV433" s="150"/>
      <c r="AW433" s="150"/>
      <c r="AX433" s="150"/>
      <c r="AY433" s="150"/>
      <c r="AZ433" s="150"/>
      <c r="BA433" s="150"/>
      <c r="BB433" s="150"/>
      <c r="BC433" s="170"/>
      <c r="BD433" s="170"/>
      <c r="BE433" s="170"/>
      <c r="BF433" s="170"/>
      <c r="BG433" s="170"/>
      <c r="BH433" s="170"/>
      <c r="BI433" s="170"/>
      <c r="BJ433" s="170"/>
      <c r="BK433" s="167">
        <f t="shared" si="285"/>
        <v>0</v>
      </c>
      <c r="BL433" s="167">
        <f t="shared" si="286"/>
        <v>0</v>
      </c>
      <c r="BM433" s="167">
        <f t="shared" si="287"/>
        <v>0</v>
      </c>
      <c r="BN433" s="167">
        <f t="shared" si="288"/>
        <v>0</v>
      </c>
    </row>
    <row r="434" spans="1:66" s="171" customFormat="1" ht="15.75" hidden="1" customHeight="1" outlineLevel="3" x14ac:dyDescent="0.3">
      <c r="A434" s="169"/>
      <c r="B434" s="169"/>
      <c r="C434" s="169"/>
      <c r="D434" s="169"/>
      <c r="E434" s="169" t="s">
        <v>2706</v>
      </c>
      <c r="F434" s="169" t="s">
        <v>3208</v>
      </c>
      <c r="G434" s="169">
        <v>85</v>
      </c>
      <c r="H434" s="169" t="s">
        <v>273</v>
      </c>
      <c r="I434" s="165">
        <f t="shared" si="302"/>
        <v>0</v>
      </c>
      <c r="J434" s="165">
        <f t="shared" si="303"/>
        <v>0</v>
      </c>
      <c r="K434" s="150">
        <f t="shared" si="284"/>
        <v>0</v>
      </c>
      <c r="L434" s="150">
        <f t="shared" si="304"/>
        <v>0</v>
      </c>
      <c r="M434" s="166"/>
      <c r="N434" s="150"/>
      <c r="O434" s="150"/>
      <c r="P434" s="150"/>
      <c r="Q434" s="150"/>
      <c r="R434" s="150"/>
      <c r="S434" s="150"/>
      <c r="T434" s="150"/>
      <c r="U434" s="150"/>
      <c r="V434" s="150"/>
      <c r="W434" s="150"/>
      <c r="X434" s="150"/>
      <c r="Y434" s="150"/>
      <c r="Z434" s="150"/>
      <c r="AA434" s="150"/>
      <c r="AB434" s="150"/>
      <c r="AC434" s="165"/>
      <c r="AD434" s="165"/>
      <c r="AE434" s="165"/>
      <c r="AF434" s="165"/>
      <c r="AG434" s="165"/>
      <c r="AH434" s="165"/>
      <c r="AI434" s="150"/>
      <c r="AJ434" s="150"/>
      <c r="AK434" s="150"/>
      <c r="AL434" s="150"/>
      <c r="AM434" s="150"/>
      <c r="AN434" s="150"/>
      <c r="AO434" s="150"/>
      <c r="AP434" s="150"/>
      <c r="AQ434" s="150"/>
      <c r="AR434" s="150"/>
      <c r="AS434" s="150"/>
      <c r="AT434" s="150"/>
      <c r="AU434" s="150"/>
      <c r="AV434" s="150"/>
      <c r="AW434" s="150"/>
      <c r="AX434" s="150"/>
      <c r="AY434" s="150"/>
      <c r="AZ434" s="150"/>
      <c r="BA434" s="150"/>
      <c r="BB434" s="150"/>
      <c r="BC434" s="170"/>
      <c r="BD434" s="170"/>
      <c r="BE434" s="170"/>
      <c r="BF434" s="170"/>
      <c r="BG434" s="170"/>
      <c r="BH434" s="170"/>
      <c r="BI434" s="170"/>
      <c r="BJ434" s="170"/>
      <c r="BK434" s="167">
        <f t="shared" si="285"/>
        <v>0</v>
      </c>
      <c r="BL434" s="167">
        <f t="shared" si="286"/>
        <v>0</v>
      </c>
      <c r="BM434" s="167">
        <f t="shared" si="287"/>
        <v>0</v>
      </c>
      <c r="BN434" s="167">
        <f t="shared" si="288"/>
        <v>0</v>
      </c>
    </row>
    <row r="435" spans="1:66" s="171" customFormat="1" ht="15.75" hidden="1" customHeight="1" outlineLevel="3" x14ac:dyDescent="0.3">
      <c r="A435" s="169"/>
      <c r="B435" s="169"/>
      <c r="C435" s="169"/>
      <c r="D435" s="169"/>
      <c r="E435" s="169" t="s">
        <v>2706</v>
      </c>
      <c r="F435" s="169" t="s">
        <v>3208</v>
      </c>
      <c r="G435" s="169">
        <v>86</v>
      </c>
      <c r="H435" s="169" t="s">
        <v>274</v>
      </c>
      <c r="I435" s="165">
        <f t="shared" si="302"/>
        <v>0</v>
      </c>
      <c r="J435" s="165">
        <f t="shared" si="303"/>
        <v>0</v>
      </c>
      <c r="K435" s="150">
        <f t="shared" si="284"/>
        <v>0</v>
      </c>
      <c r="L435" s="150">
        <f t="shared" si="304"/>
        <v>0</v>
      </c>
      <c r="M435" s="166"/>
      <c r="N435" s="150"/>
      <c r="O435" s="150"/>
      <c r="P435" s="150"/>
      <c r="Q435" s="150"/>
      <c r="R435" s="150"/>
      <c r="S435" s="150"/>
      <c r="T435" s="150"/>
      <c r="U435" s="150"/>
      <c r="V435" s="150"/>
      <c r="W435" s="150"/>
      <c r="X435" s="150"/>
      <c r="Y435" s="150"/>
      <c r="Z435" s="150"/>
      <c r="AA435" s="150"/>
      <c r="AB435" s="150"/>
      <c r="AC435" s="165"/>
      <c r="AD435" s="165"/>
      <c r="AE435" s="165"/>
      <c r="AF435" s="165"/>
      <c r="AG435" s="165"/>
      <c r="AH435" s="165"/>
      <c r="AI435" s="150"/>
      <c r="AJ435" s="150"/>
      <c r="AK435" s="150"/>
      <c r="AL435" s="150"/>
      <c r="AM435" s="150"/>
      <c r="AN435" s="150"/>
      <c r="AO435" s="150"/>
      <c r="AP435" s="150"/>
      <c r="AQ435" s="150"/>
      <c r="AR435" s="150"/>
      <c r="AS435" s="150"/>
      <c r="AT435" s="150"/>
      <c r="AU435" s="150"/>
      <c r="AV435" s="150"/>
      <c r="AW435" s="150"/>
      <c r="AX435" s="150"/>
      <c r="AY435" s="150"/>
      <c r="AZ435" s="150"/>
      <c r="BA435" s="150"/>
      <c r="BB435" s="150"/>
      <c r="BC435" s="170"/>
      <c r="BD435" s="170"/>
      <c r="BE435" s="170"/>
      <c r="BF435" s="170"/>
      <c r="BG435" s="170"/>
      <c r="BH435" s="170"/>
      <c r="BI435" s="170"/>
      <c r="BJ435" s="170"/>
      <c r="BK435" s="167">
        <f t="shared" si="285"/>
        <v>0</v>
      </c>
      <c r="BL435" s="167">
        <f t="shared" si="286"/>
        <v>0</v>
      </c>
      <c r="BM435" s="167">
        <f t="shared" si="287"/>
        <v>0</v>
      </c>
      <c r="BN435" s="167">
        <f t="shared" si="288"/>
        <v>0</v>
      </c>
    </row>
    <row r="436" spans="1:66" s="171" customFormat="1" ht="15.75" hidden="1" customHeight="1" outlineLevel="3" x14ac:dyDescent="0.3">
      <c r="A436" s="169"/>
      <c r="B436" s="169"/>
      <c r="C436" s="169"/>
      <c r="D436" s="169"/>
      <c r="E436" s="169" t="s">
        <v>2706</v>
      </c>
      <c r="F436" s="169" t="s">
        <v>3208</v>
      </c>
      <c r="G436" s="169">
        <v>87</v>
      </c>
      <c r="H436" s="169" t="s">
        <v>275</v>
      </c>
      <c r="I436" s="165">
        <f t="shared" si="302"/>
        <v>0</v>
      </c>
      <c r="J436" s="165">
        <f t="shared" si="303"/>
        <v>0</v>
      </c>
      <c r="K436" s="150">
        <f t="shared" si="284"/>
        <v>0</v>
      </c>
      <c r="L436" s="150">
        <f t="shared" si="304"/>
        <v>0</v>
      </c>
      <c r="M436" s="166"/>
      <c r="N436" s="150"/>
      <c r="O436" s="150"/>
      <c r="P436" s="150"/>
      <c r="Q436" s="150"/>
      <c r="R436" s="150"/>
      <c r="S436" s="150"/>
      <c r="T436" s="150"/>
      <c r="U436" s="150"/>
      <c r="V436" s="150"/>
      <c r="W436" s="150"/>
      <c r="X436" s="150"/>
      <c r="Y436" s="150"/>
      <c r="Z436" s="150"/>
      <c r="AA436" s="150"/>
      <c r="AB436" s="150"/>
      <c r="AC436" s="165"/>
      <c r="AD436" s="165"/>
      <c r="AE436" s="165"/>
      <c r="AF436" s="165"/>
      <c r="AG436" s="165"/>
      <c r="AH436" s="165"/>
      <c r="AI436" s="150"/>
      <c r="AJ436" s="150"/>
      <c r="AK436" s="150"/>
      <c r="AL436" s="150"/>
      <c r="AM436" s="150"/>
      <c r="AN436" s="150"/>
      <c r="AO436" s="150"/>
      <c r="AP436" s="150"/>
      <c r="AQ436" s="150"/>
      <c r="AR436" s="150"/>
      <c r="AS436" s="150"/>
      <c r="AT436" s="150"/>
      <c r="AU436" s="150"/>
      <c r="AV436" s="150"/>
      <c r="AW436" s="150"/>
      <c r="AX436" s="150"/>
      <c r="AY436" s="150"/>
      <c r="AZ436" s="150"/>
      <c r="BA436" s="150"/>
      <c r="BB436" s="150"/>
      <c r="BC436" s="170"/>
      <c r="BD436" s="170"/>
      <c r="BE436" s="170"/>
      <c r="BF436" s="170"/>
      <c r="BG436" s="170"/>
      <c r="BH436" s="170"/>
      <c r="BI436" s="170"/>
      <c r="BJ436" s="170"/>
      <c r="BK436" s="167">
        <f t="shared" si="285"/>
        <v>0</v>
      </c>
      <c r="BL436" s="167">
        <f t="shared" si="286"/>
        <v>0</v>
      </c>
      <c r="BM436" s="167">
        <f t="shared" si="287"/>
        <v>0</v>
      </c>
      <c r="BN436" s="167">
        <f t="shared" si="288"/>
        <v>0</v>
      </c>
    </row>
    <row r="437" spans="1:66" s="171" customFormat="1" ht="15.75" hidden="1" customHeight="1" outlineLevel="3" x14ac:dyDescent="0.3">
      <c r="A437" s="169"/>
      <c r="B437" s="169"/>
      <c r="C437" s="169"/>
      <c r="D437" s="169"/>
      <c r="E437" s="169" t="s">
        <v>2706</v>
      </c>
      <c r="F437" s="169" t="s">
        <v>3208</v>
      </c>
      <c r="G437" s="169">
        <v>88</v>
      </c>
      <c r="H437" s="169" t="s">
        <v>276</v>
      </c>
      <c r="I437" s="165">
        <f t="shared" si="302"/>
        <v>0</v>
      </c>
      <c r="J437" s="165">
        <f t="shared" si="303"/>
        <v>0</v>
      </c>
      <c r="K437" s="150">
        <f t="shared" si="284"/>
        <v>0</v>
      </c>
      <c r="L437" s="150">
        <f t="shared" si="304"/>
        <v>0</v>
      </c>
      <c r="M437" s="166"/>
      <c r="N437" s="150"/>
      <c r="O437" s="150"/>
      <c r="P437" s="150"/>
      <c r="Q437" s="150"/>
      <c r="R437" s="150"/>
      <c r="S437" s="150"/>
      <c r="T437" s="150"/>
      <c r="U437" s="150"/>
      <c r="V437" s="150"/>
      <c r="W437" s="150"/>
      <c r="X437" s="150"/>
      <c r="Y437" s="150"/>
      <c r="Z437" s="150"/>
      <c r="AA437" s="150"/>
      <c r="AB437" s="150"/>
      <c r="AC437" s="165"/>
      <c r="AD437" s="165"/>
      <c r="AE437" s="165"/>
      <c r="AF437" s="165"/>
      <c r="AG437" s="165"/>
      <c r="AH437" s="165"/>
      <c r="AI437" s="150"/>
      <c r="AJ437" s="150"/>
      <c r="AK437" s="150"/>
      <c r="AL437" s="150"/>
      <c r="AM437" s="150"/>
      <c r="AN437" s="150"/>
      <c r="AO437" s="150"/>
      <c r="AP437" s="150"/>
      <c r="AQ437" s="150"/>
      <c r="AR437" s="150"/>
      <c r="AS437" s="150"/>
      <c r="AT437" s="150"/>
      <c r="AU437" s="150"/>
      <c r="AV437" s="150"/>
      <c r="AW437" s="150"/>
      <c r="AX437" s="150"/>
      <c r="AY437" s="150"/>
      <c r="AZ437" s="150"/>
      <c r="BA437" s="150"/>
      <c r="BB437" s="150"/>
      <c r="BC437" s="170"/>
      <c r="BD437" s="170"/>
      <c r="BE437" s="170"/>
      <c r="BF437" s="170"/>
      <c r="BG437" s="170"/>
      <c r="BH437" s="170"/>
      <c r="BI437" s="170"/>
      <c r="BJ437" s="170"/>
      <c r="BK437" s="167">
        <f t="shared" si="285"/>
        <v>0</v>
      </c>
      <c r="BL437" s="167">
        <f t="shared" si="286"/>
        <v>0</v>
      </c>
      <c r="BM437" s="167">
        <f t="shared" si="287"/>
        <v>0</v>
      </c>
      <c r="BN437" s="167">
        <f t="shared" si="288"/>
        <v>0</v>
      </c>
    </row>
    <row r="438" spans="1:66" s="171" customFormat="1" ht="15.75" hidden="1" customHeight="1" outlineLevel="3" x14ac:dyDescent="0.3">
      <c r="A438" s="169"/>
      <c r="B438" s="169"/>
      <c r="C438" s="169"/>
      <c r="D438" s="169"/>
      <c r="E438" s="169" t="s">
        <v>2706</v>
      </c>
      <c r="F438" s="169" t="s">
        <v>3208</v>
      </c>
      <c r="G438" s="169">
        <v>90</v>
      </c>
      <c r="H438" s="169" t="s">
        <v>279</v>
      </c>
      <c r="I438" s="165">
        <f t="shared" si="302"/>
        <v>0</v>
      </c>
      <c r="J438" s="165">
        <f t="shared" si="303"/>
        <v>0</v>
      </c>
      <c r="K438" s="150">
        <f t="shared" si="284"/>
        <v>0</v>
      </c>
      <c r="L438" s="150">
        <f t="shared" si="304"/>
        <v>0</v>
      </c>
      <c r="M438" s="166"/>
      <c r="N438" s="150"/>
      <c r="O438" s="150"/>
      <c r="P438" s="150"/>
      <c r="Q438" s="150"/>
      <c r="R438" s="150"/>
      <c r="S438" s="150"/>
      <c r="T438" s="150"/>
      <c r="U438" s="150"/>
      <c r="V438" s="150"/>
      <c r="W438" s="150"/>
      <c r="X438" s="150"/>
      <c r="Y438" s="150"/>
      <c r="Z438" s="150"/>
      <c r="AA438" s="150"/>
      <c r="AB438" s="150"/>
      <c r="AC438" s="165"/>
      <c r="AD438" s="165"/>
      <c r="AE438" s="165"/>
      <c r="AF438" s="165"/>
      <c r="AG438" s="165"/>
      <c r="AH438" s="165"/>
      <c r="AI438" s="150"/>
      <c r="AJ438" s="150"/>
      <c r="AK438" s="150"/>
      <c r="AL438" s="150"/>
      <c r="AM438" s="150"/>
      <c r="AN438" s="150"/>
      <c r="AO438" s="150"/>
      <c r="AP438" s="150"/>
      <c r="AQ438" s="150"/>
      <c r="AR438" s="150"/>
      <c r="AS438" s="150"/>
      <c r="AT438" s="150"/>
      <c r="AU438" s="150"/>
      <c r="AV438" s="150"/>
      <c r="AW438" s="150"/>
      <c r="AX438" s="150"/>
      <c r="AY438" s="150"/>
      <c r="AZ438" s="150"/>
      <c r="BA438" s="150"/>
      <c r="BB438" s="150"/>
      <c r="BC438" s="170"/>
      <c r="BD438" s="170"/>
      <c r="BE438" s="170"/>
      <c r="BF438" s="170"/>
      <c r="BG438" s="170"/>
      <c r="BH438" s="170"/>
      <c r="BI438" s="170"/>
      <c r="BJ438" s="170"/>
      <c r="BK438" s="167">
        <f t="shared" si="285"/>
        <v>0</v>
      </c>
      <c r="BL438" s="167">
        <f t="shared" si="286"/>
        <v>0</v>
      </c>
      <c r="BM438" s="167">
        <f t="shared" si="287"/>
        <v>0</v>
      </c>
      <c r="BN438" s="167">
        <f t="shared" si="288"/>
        <v>0</v>
      </c>
    </row>
    <row r="439" spans="1:66" s="171" customFormat="1" ht="15.75" hidden="1" customHeight="1" outlineLevel="3" x14ac:dyDescent="0.3">
      <c r="A439" s="169"/>
      <c r="B439" s="169"/>
      <c r="C439" s="169"/>
      <c r="D439" s="169"/>
      <c r="E439" s="169" t="s">
        <v>2706</v>
      </c>
      <c r="F439" s="169" t="s">
        <v>3208</v>
      </c>
      <c r="G439" s="169">
        <v>91</v>
      </c>
      <c r="H439" s="169" t="s">
        <v>281</v>
      </c>
      <c r="I439" s="165">
        <f t="shared" si="302"/>
        <v>0</v>
      </c>
      <c r="J439" s="165">
        <f t="shared" si="303"/>
        <v>0</v>
      </c>
      <c r="K439" s="150">
        <f t="shared" si="284"/>
        <v>0</v>
      </c>
      <c r="L439" s="150">
        <f t="shared" si="304"/>
        <v>0</v>
      </c>
      <c r="M439" s="166"/>
      <c r="N439" s="150"/>
      <c r="O439" s="150"/>
      <c r="P439" s="150"/>
      <c r="Q439" s="150"/>
      <c r="R439" s="150"/>
      <c r="S439" s="150"/>
      <c r="T439" s="150"/>
      <c r="U439" s="150"/>
      <c r="V439" s="150"/>
      <c r="W439" s="150"/>
      <c r="X439" s="150"/>
      <c r="Y439" s="150"/>
      <c r="Z439" s="150"/>
      <c r="AA439" s="150"/>
      <c r="AB439" s="150"/>
      <c r="AC439" s="165"/>
      <c r="AD439" s="165"/>
      <c r="AE439" s="165"/>
      <c r="AF439" s="165"/>
      <c r="AG439" s="165"/>
      <c r="AH439" s="165"/>
      <c r="AI439" s="150"/>
      <c r="AJ439" s="150"/>
      <c r="AK439" s="150"/>
      <c r="AL439" s="150"/>
      <c r="AM439" s="150"/>
      <c r="AN439" s="150"/>
      <c r="AO439" s="150"/>
      <c r="AP439" s="150"/>
      <c r="AQ439" s="150"/>
      <c r="AR439" s="150"/>
      <c r="AS439" s="150"/>
      <c r="AT439" s="150"/>
      <c r="AU439" s="150"/>
      <c r="AV439" s="150"/>
      <c r="AW439" s="150"/>
      <c r="AX439" s="150"/>
      <c r="AY439" s="150"/>
      <c r="AZ439" s="150"/>
      <c r="BA439" s="150"/>
      <c r="BB439" s="150"/>
      <c r="BC439" s="170"/>
      <c r="BD439" s="170"/>
      <c r="BE439" s="170"/>
      <c r="BF439" s="170"/>
      <c r="BG439" s="170"/>
      <c r="BH439" s="170"/>
      <c r="BI439" s="170"/>
      <c r="BJ439" s="170"/>
      <c r="BK439" s="167">
        <f t="shared" si="285"/>
        <v>0</v>
      </c>
      <c r="BL439" s="167">
        <f t="shared" si="286"/>
        <v>0</v>
      </c>
      <c r="BM439" s="167">
        <f t="shared" si="287"/>
        <v>0</v>
      </c>
      <c r="BN439" s="167">
        <f t="shared" si="288"/>
        <v>0</v>
      </c>
    </row>
    <row r="440" spans="1:66" s="171" customFormat="1" ht="15.75" hidden="1" customHeight="1" outlineLevel="3" x14ac:dyDescent="0.3">
      <c r="A440" s="169"/>
      <c r="B440" s="169"/>
      <c r="C440" s="169"/>
      <c r="D440" s="169"/>
      <c r="E440" s="169" t="s">
        <v>2706</v>
      </c>
      <c r="F440" s="169" t="s">
        <v>3208</v>
      </c>
      <c r="G440" s="169">
        <v>92</v>
      </c>
      <c r="H440" s="169" t="s">
        <v>282</v>
      </c>
      <c r="I440" s="165">
        <f t="shared" si="302"/>
        <v>0</v>
      </c>
      <c r="J440" s="165">
        <f t="shared" si="303"/>
        <v>0</v>
      </c>
      <c r="K440" s="150">
        <f t="shared" si="284"/>
        <v>0</v>
      </c>
      <c r="L440" s="150">
        <f t="shared" si="304"/>
        <v>0</v>
      </c>
      <c r="M440" s="166"/>
      <c r="N440" s="150"/>
      <c r="O440" s="150"/>
      <c r="P440" s="150"/>
      <c r="Q440" s="150"/>
      <c r="R440" s="150"/>
      <c r="S440" s="150"/>
      <c r="T440" s="150"/>
      <c r="U440" s="150"/>
      <c r="V440" s="150"/>
      <c r="W440" s="150"/>
      <c r="X440" s="150"/>
      <c r="Y440" s="150"/>
      <c r="Z440" s="150"/>
      <c r="AA440" s="150"/>
      <c r="AB440" s="150"/>
      <c r="AC440" s="165"/>
      <c r="AD440" s="165"/>
      <c r="AE440" s="165"/>
      <c r="AF440" s="165"/>
      <c r="AG440" s="165"/>
      <c r="AH440" s="165"/>
      <c r="AI440" s="150"/>
      <c r="AJ440" s="150"/>
      <c r="AK440" s="150"/>
      <c r="AL440" s="150"/>
      <c r="AM440" s="150"/>
      <c r="AN440" s="150"/>
      <c r="AO440" s="150"/>
      <c r="AP440" s="150"/>
      <c r="AQ440" s="150"/>
      <c r="AR440" s="150"/>
      <c r="AS440" s="150"/>
      <c r="AT440" s="150"/>
      <c r="AU440" s="150"/>
      <c r="AV440" s="150"/>
      <c r="AW440" s="150"/>
      <c r="AX440" s="150"/>
      <c r="AY440" s="150"/>
      <c r="AZ440" s="150"/>
      <c r="BA440" s="150"/>
      <c r="BB440" s="150"/>
      <c r="BC440" s="170"/>
      <c r="BD440" s="170"/>
      <c r="BE440" s="170"/>
      <c r="BF440" s="170"/>
      <c r="BG440" s="170"/>
      <c r="BH440" s="170"/>
      <c r="BI440" s="170"/>
      <c r="BJ440" s="170"/>
      <c r="BK440" s="167">
        <f t="shared" si="285"/>
        <v>0</v>
      </c>
      <c r="BL440" s="167">
        <f t="shared" si="286"/>
        <v>0</v>
      </c>
      <c r="BM440" s="167">
        <f t="shared" si="287"/>
        <v>0</v>
      </c>
      <c r="BN440" s="167">
        <f t="shared" si="288"/>
        <v>0</v>
      </c>
    </row>
    <row r="441" spans="1:66" s="171" customFormat="1" ht="15.75" hidden="1" customHeight="1" outlineLevel="3" x14ac:dyDescent="0.3">
      <c r="A441" s="169"/>
      <c r="B441" s="169"/>
      <c r="C441" s="169"/>
      <c r="D441" s="169"/>
      <c r="E441" s="169" t="s">
        <v>2706</v>
      </c>
      <c r="F441" s="169" t="s">
        <v>3208</v>
      </c>
      <c r="G441" s="169">
        <v>93</v>
      </c>
      <c r="H441" s="169" t="s">
        <v>284</v>
      </c>
      <c r="I441" s="165">
        <f t="shared" si="302"/>
        <v>0</v>
      </c>
      <c r="J441" s="165">
        <f t="shared" si="303"/>
        <v>0</v>
      </c>
      <c r="K441" s="150">
        <f t="shared" si="284"/>
        <v>0</v>
      </c>
      <c r="L441" s="150">
        <f t="shared" si="304"/>
        <v>0</v>
      </c>
      <c r="M441" s="166"/>
      <c r="N441" s="150"/>
      <c r="O441" s="150"/>
      <c r="P441" s="150"/>
      <c r="Q441" s="150"/>
      <c r="R441" s="150"/>
      <c r="S441" s="150"/>
      <c r="T441" s="150"/>
      <c r="U441" s="150"/>
      <c r="V441" s="150"/>
      <c r="W441" s="150"/>
      <c r="X441" s="150"/>
      <c r="Y441" s="150"/>
      <c r="Z441" s="150"/>
      <c r="AA441" s="150"/>
      <c r="AB441" s="150"/>
      <c r="AC441" s="165"/>
      <c r="AD441" s="165"/>
      <c r="AE441" s="165"/>
      <c r="AF441" s="165"/>
      <c r="AG441" s="165"/>
      <c r="AH441" s="165"/>
      <c r="AI441" s="150"/>
      <c r="AJ441" s="150"/>
      <c r="AK441" s="150"/>
      <c r="AL441" s="150"/>
      <c r="AM441" s="150"/>
      <c r="AN441" s="150"/>
      <c r="AO441" s="150"/>
      <c r="AP441" s="150"/>
      <c r="AQ441" s="150"/>
      <c r="AR441" s="150"/>
      <c r="AS441" s="150"/>
      <c r="AT441" s="150"/>
      <c r="AU441" s="150"/>
      <c r="AV441" s="150"/>
      <c r="AW441" s="150"/>
      <c r="AX441" s="150"/>
      <c r="AY441" s="150"/>
      <c r="AZ441" s="150"/>
      <c r="BA441" s="150"/>
      <c r="BB441" s="150"/>
      <c r="BC441" s="170"/>
      <c r="BD441" s="170"/>
      <c r="BE441" s="170"/>
      <c r="BF441" s="170"/>
      <c r="BG441" s="170"/>
      <c r="BH441" s="170"/>
      <c r="BI441" s="170"/>
      <c r="BJ441" s="170"/>
      <c r="BK441" s="167">
        <f t="shared" si="285"/>
        <v>0</v>
      </c>
      <c r="BL441" s="167">
        <f t="shared" si="286"/>
        <v>0</v>
      </c>
      <c r="BM441" s="167">
        <f t="shared" si="287"/>
        <v>0</v>
      </c>
      <c r="BN441" s="167">
        <f t="shared" si="288"/>
        <v>0</v>
      </c>
    </row>
    <row r="442" spans="1:66" s="171" customFormat="1" ht="15.75" hidden="1" customHeight="1" outlineLevel="3" x14ac:dyDescent="0.3">
      <c r="A442" s="169"/>
      <c r="B442" s="169"/>
      <c r="C442" s="169"/>
      <c r="D442" s="169"/>
      <c r="E442" s="169" t="s">
        <v>2706</v>
      </c>
      <c r="F442" s="169" t="s">
        <v>3208</v>
      </c>
      <c r="G442" s="169">
        <v>96</v>
      </c>
      <c r="H442" s="169" t="s">
        <v>289</v>
      </c>
      <c r="I442" s="165">
        <f t="shared" si="302"/>
        <v>0</v>
      </c>
      <c r="J442" s="165">
        <f t="shared" si="303"/>
        <v>0</v>
      </c>
      <c r="K442" s="150">
        <f t="shared" si="284"/>
        <v>0</v>
      </c>
      <c r="L442" s="150">
        <f t="shared" si="304"/>
        <v>0</v>
      </c>
      <c r="M442" s="166"/>
      <c r="N442" s="150"/>
      <c r="O442" s="150"/>
      <c r="P442" s="150"/>
      <c r="Q442" s="150"/>
      <c r="R442" s="150"/>
      <c r="S442" s="150"/>
      <c r="T442" s="150"/>
      <c r="U442" s="150"/>
      <c r="V442" s="150"/>
      <c r="W442" s="150"/>
      <c r="X442" s="150"/>
      <c r="Y442" s="150"/>
      <c r="Z442" s="150"/>
      <c r="AA442" s="150"/>
      <c r="AB442" s="150"/>
      <c r="AC442" s="165"/>
      <c r="AD442" s="165"/>
      <c r="AE442" s="165"/>
      <c r="AF442" s="165"/>
      <c r="AG442" s="165"/>
      <c r="AH442" s="165"/>
      <c r="AI442" s="150"/>
      <c r="AJ442" s="150"/>
      <c r="AK442" s="150"/>
      <c r="AL442" s="150"/>
      <c r="AM442" s="150"/>
      <c r="AN442" s="150"/>
      <c r="AO442" s="150"/>
      <c r="AP442" s="150"/>
      <c r="AQ442" s="150"/>
      <c r="AR442" s="150"/>
      <c r="AS442" s="150"/>
      <c r="AT442" s="150"/>
      <c r="AU442" s="150"/>
      <c r="AV442" s="150"/>
      <c r="AW442" s="150"/>
      <c r="AX442" s="150"/>
      <c r="AY442" s="150"/>
      <c r="AZ442" s="150"/>
      <c r="BA442" s="150"/>
      <c r="BB442" s="150"/>
      <c r="BC442" s="170"/>
      <c r="BD442" s="170"/>
      <c r="BE442" s="170"/>
      <c r="BF442" s="170"/>
      <c r="BG442" s="170"/>
      <c r="BH442" s="170"/>
      <c r="BI442" s="170"/>
      <c r="BJ442" s="170"/>
      <c r="BK442" s="167">
        <f t="shared" si="285"/>
        <v>0</v>
      </c>
      <c r="BL442" s="167">
        <f t="shared" si="286"/>
        <v>0</v>
      </c>
      <c r="BM442" s="167">
        <f t="shared" si="287"/>
        <v>0</v>
      </c>
      <c r="BN442" s="167">
        <f t="shared" si="288"/>
        <v>0</v>
      </c>
    </row>
    <row r="443" spans="1:66" s="171" customFormat="1" ht="15.75" hidden="1" customHeight="1" outlineLevel="3" x14ac:dyDescent="0.3">
      <c r="A443" s="169"/>
      <c r="B443" s="169"/>
      <c r="C443" s="169"/>
      <c r="D443" s="169"/>
      <c r="E443" s="169" t="s">
        <v>2706</v>
      </c>
      <c r="F443" s="169" t="s">
        <v>3208</v>
      </c>
      <c r="G443" s="169">
        <v>97</v>
      </c>
      <c r="H443" s="169" t="s">
        <v>291</v>
      </c>
      <c r="I443" s="165">
        <f t="shared" si="302"/>
        <v>0</v>
      </c>
      <c r="J443" s="165">
        <f t="shared" si="303"/>
        <v>0</v>
      </c>
      <c r="K443" s="150">
        <f t="shared" si="284"/>
        <v>0</v>
      </c>
      <c r="L443" s="150">
        <f t="shared" si="304"/>
        <v>0</v>
      </c>
      <c r="M443" s="166"/>
      <c r="N443" s="150"/>
      <c r="O443" s="150"/>
      <c r="P443" s="150"/>
      <c r="Q443" s="150"/>
      <c r="R443" s="150"/>
      <c r="S443" s="150"/>
      <c r="T443" s="150"/>
      <c r="U443" s="150"/>
      <c r="V443" s="150"/>
      <c r="W443" s="150"/>
      <c r="X443" s="150"/>
      <c r="Y443" s="150"/>
      <c r="Z443" s="150"/>
      <c r="AA443" s="150"/>
      <c r="AB443" s="150"/>
      <c r="AC443" s="165"/>
      <c r="AD443" s="165"/>
      <c r="AE443" s="165"/>
      <c r="AF443" s="165"/>
      <c r="AG443" s="165"/>
      <c r="AH443" s="165"/>
      <c r="AI443" s="150"/>
      <c r="AJ443" s="150"/>
      <c r="AK443" s="150"/>
      <c r="AL443" s="150"/>
      <c r="AM443" s="150"/>
      <c r="AN443" s="150"/>
      <c r="AO443" s="150"/>
      <c r="AP443" s="150"/>
      <c r="AQ443" s="150"/>
      <c r="AR443" s="150"/>
      <c r="AS443" s="150"/>
      <c r="AT443" s="150"/>
      <c r="AU443" s="150"/>
      <c r="AV443" s="150"/>
      <c r="AW443" s="150"/>
      <c r="AX443" s="150"/>
      <c r="AY443" s="150"/>
      <c r="AZ443" s="150"/>
      <c r="BA443" s="150"/>
      <c r="BB443" s="150"/>
      <c r="BC443" s="170"/>
      <c r="BD443" s="170"/>
      <c r="BE443" s="170"/>
      <c r="BF443" s="170"/>
      <c r="BG443" s="170"/>
      <c r="BH443" s="170"/>
      <c r="BI443" s="170"/>
      <c r="BJ443" s="170"/>
      <c r="BK443" s="167">
        <f t="shared" si="285"/>
        <v>0</v>
      </c>
      <c r="BL443" s="167">
        <f t="shared" si="286"/>
        <v>0</v>
      </c>
      <c r="BM443" s="167">
        <f t="shared" si="287"/>
        <v>0</v>
      </c>
      <c r="BN443" s="167">
        <f t="shared" si="288"/>
        <v>0</v>
      </c>
    </row>
    <row r="444" spans="1:66" s="171" customFormat="1" ht="15.75" hidden="1" customHeight="1" outlineLevel="3" x14ac:dyDescent="0.3">
      <c r="A444" s="169"/>
      <c r="B444" s="169"/>
      <c r="C444" s="169"/>
      <c r="D444" s="169"/>
      <c r="E444" s="169" t="s">
        <v>2706</v>
      </c>
      <c r="F444" s="169" t="s">
        <v>3208</v>
      </c>
      <c r="G444" s="169">
        <v>98</v>
      </c>
      <c r="H444" s="169" t="s">
        <v>292</v>
      </c>
      <c r="I444" s="165">
        <f t="shared" si="302"/>
        <v>0</v>
      </c>
      <c r="J444" s="165">
        <f t="shared" si="303"/>
        <v>0</v>
      </c>
      <c r="K444" s="150">
        <f t="shared" si="284"/>
        <v>0</v>
      </c>
      <c r="L444" s="150">
        <f t="shared" si="304"/>
        <v>0</v>
      </c>
      <c r="M444" s="166"/>
      <c r="N444" s="150"/>
      <c r="O444" s="150"/>
      <c r="P444" s="150"/>
      <c r="Q444" s="150"/>
      <c r="R444" s="150"/>
      <c r="S444" s="150"/>
      <c r="T444" s="150"/>
      <c r="U444" s="150"/>
      <c r="V444" s="150"/>
      <c r="W444" s="150"/>
      <c r="X444" s="150"/>
      <c r="Y444" s="150"/>
      <c r="Z444" s="150"/>
      <c r="AA444" s="150"/>
      <c r="AB444" s="150"/>
      <c r="AC444" s="165"/>
      <c r="AD444" s="165"/>
      <c r="AE444" s="165"/>
      <c r="AF444" s="165"/>
      <c r="AG444" s="165"/>
      <c r="AH444" s="165"/>
      <c r="AI444" s="150"/>
      <c r="AJ444" s="150"/>
      <c r="AK444" s="150"/>
      <c r="AL444" s="150"/>
      <c r="AM444" s="150"/>
      <c r="AN444" s="150"/>
      <c r="AO444" s="150"/>
      <c r="AP444" s="150"/>
      <c r="AQ444" s="150"/>
      <c r="AR444" s="150"/>
      <c r="AS444" s="150"/>
      <c r="AT444" s="150"/>
      <c r="AU444" s="150"/>
      <c r="AV444" s="150"/>
      <c r="AW444" s="150"/>
      <c r="AX444" s="150"/>
      <c r="AY444" s="150"/>
      <c r="AZ444" s="150"/>
      <c r="BA444" s="150"/>
      <c r="BB444" s="150"/>
      <c r="BC444" s="170"/>
      <c r="BD444" s="170"/>
      <c r="BE444" s="170"/>
      <c r="BF444" s="170"/>
      <c r="BG444" s="170"/>
      <c r="BH444" s="170"/>
      <c r="BI444" s="170"/>
      <c r="BJ444" s="170"/>
      <c r="BK444" s="167">
        <f t="shared" si="285"/>
        <v>0</v>
      </c>
      <c r="BL444" s="167">
        <f t="shared" si="286"/>
        <v>0</v>
      </c>
      <c r="BM444" s="167">
        <f t="shared" si="287"/>
        <v>0</v>
      </c>
      <c r="BN444" s="167">
        <f t="shared" si="288"/>
        <v>0</v>
      </c>
    </row>
    <row r="445" spans="1:66" s="171" customFormat="1" ht="15.75" hidden="1" customHeight="1" outlineLevel="3" x14ac:dyDescent="0.3">
      <c r="A445" s="169"/>
      <c r="B445" s="169"/>
      <c r="C445" s="169"/>
      <c r="D445" s="169"/>
      <c r="E445" s="169" t="s">
        <v>2706</v>
      </c>
      <c r="F445" s="169" t="s">
        <v>3208</v>
      </c>
      <c r="G445" s="169">
        <v>99</v>
      </c>
      <c r="H445" s="169" t="s">
        <v>293</v>
      </c>
      <c r="I445" s="165">
        <f t="shared" si="302"/>
        <v>0</v>
      </c>
      <c r="J445" s="165">
        <f t="shared" si="303"/>
        <v>0</v>
      </c>
      <c r="K445" s="150">
        <f t="shared" si="284"/>
        <v>0</v>
      </c>
      <c r="L445" s="150">
        <f t="shared" si="304"/>
        <v>0</v>
      </c>
      <c r="M445" s="166"/>
      <c r="N445" s="150"/>
      <c r="O445" s="150"/>
      <c r="P445" s="150"/>
      <c r="Q445" s="150"/>
      <c r="R445" s="150"/>
      <c r="S445" s="150"/>
      <c r="T445" s="150"/>
      <c r="U445" s="150"/>
      <c r="V445" s="150"/>
      <c r="W445" s="150"/>
      <c r="X445" s="150"/>
      <c r="Y445" s="150"/>
      <c r="Z445" s="150"/>
      <c r="AA445" s="150"/>
      <c r="AB445" s="150"/>
      <c r="AC445" s="165"/>
      <c r="AD445" s="165"/>
      <c r="AE445" s="165"/>
      <c r="AF445" s="165"/>
      <c r="AG445" s="165"/>
      <c r="AH445" s="165"/>
      <c r="AI445" s="150"/>
      <c r="AJ445" s="150"/>
      <c r="AK445" s="150"/>
      <c r="AL445" s="150"/>
      <c r="AM445" s="150"/>
      <c r="AN445" s="150"/>
      <c r="AO445" s="150"/>
      <c r="AP445" s="150"/>
      <c r="AQ445" s="150"/>
      <c r="AR445" s="150"/>
      <c r="AS445" s="150"/>
      <c r="AT445" s="150"/>
      <c r="AU445" s="150"/>
      <c r="AV445" s="150"/>
      <c r="AW445" s="150"/>
      <c r="AX445" s="150"/>
      <c r="AY445" s="150"/>
      <c r="AZ445" s="150"/>
      <c r="BA445" s="150"/>
      <c r="BB445" s="150"/>
      <c r="BC445" s="170"/>
      <c r="BD445" s="170"/>
      <c r="BE445" s="170"/>
      <c r="BF445" s="170"/>
      <c r="BG445" s="170"/>
      <c r="BH445" s="170"/>
      <c r="BI445" s="170"/>
      <c r="BJ445" s="170"/>
      <c r="BK445" s="167">
        <f t="shared" si="285"/>
        <v>0</v>
      </c>
      <c r="BL445" s="167">
        <f t="shared" si="286"/>
        <v>0</v>
      </c>
      <c r="BM445" s="167">
        <f t="shared" si="287"/>
        <v>0</v>
      </c>
      <c r="BN445" s="167">
        <f t="shared" si="288"/>
        <v>0</v>
      </c>
    </row>
    <row r="446" spans="1:66" s="171" customFormat="1" ht="15.75" hidden="1" customHeight="1" outlineLevel="3" x14ac:dyDescent="0.3">
      <c r="A446" s="169"/>
      <c r="B446" s="169"/>
      <c r="C446" s="169"/>
      <c r="D446" s="169"/>
      <c r="E446" s="169" t="s">
        <v>2706</v>
      </c>
      <c r="F446" s="169" t="s">
        <v>3208</v>
      </c>
      <c r="G446" s="169">
        <v>100</v>
      </c>
      <c r="H446" s="169" t="s">
        <v>294</v>
      </c>
      <c r="I446" s="165">
        <f t="shared" si="302"/>
        <v>0</v>
      </c>
      <c r="J446" s="165">
        <f t="shared" si="303"/>
        <v>0</v>
      </c>
      <c r="K446" s="150">
        <f t="shared" si="284"/>
        <v>0</v>
      </c>
      <c r="L446" s="150">
        <f t="shared" si="304"/>
        <v>0</v>
      </c>
      <c r="M446" s="166"/>
      <c r="N446" s="150"/>
      <c r="O446" s="150"/>
      <c r="P446" s="150"/>
      <c r="Q446" s="150"/>
      <c r="R446" s="150"/>
      <c r="S446" s="150"/>
      <c r="T446" s="150"/>
      <c r="U446" s="150"/>
      <c r="V446" s="150"/>
      <c r="W446" s="150"/>
      <c r="X446" s="150"/>
      <c r="Y446" s="150"/>
      <c r="Z446" s="150"/>
      <c r="AA446" s="150"/>
      <c r="AB446" s="150"/>
      <c r="AC446" s="165"/>
      <c r="AD446" s="165"/>
      <c r="AE446" s="165"/>
      <c r="AF446" s="165"/>
      <c r="AG446" s="165"/>
      <c r="AH446" s="165"/>
      <c r="AI446" s="150"/>
      <c r="AJ446" s="150"/>
      <c r="AK446" s="150"/>
      <c r="AL446" s="150"/>
      <c r="AM446" s="150"/>
      <c r="AN446" s="150"/>
      <c r="AO446" s="150"/>
      <c r="AP446" s="150"/>
      <c r="AQ446" s="150"/>
      <c r="AR446" s="150"/>
      <c r="AS446" s="150"/>
      <c r="AT446" s="150"/>
      <c r="AU446" s="150"/>
      <c r="AV446" s="150"/>
      <c r="AW446" s="150"/>
      <c r="AX446" s="150"/>
      <c r="AY446" s="150"/>
      <c r="AZ446" s="150"/>
      <c r="BA446" s="150"/>
      <c r="BB446" s="150"/>
      <c r="BC446" s="170"/>
      <c r="BD446" s="170"/>
      <c r="BE446" s="170"/>
      <c r="BF446" s="170"/>
      <c r="BG446" s="170"/>
      <c r="BH446" s="170"/>
      <c r="BI446" s="170"/>
      <c r="BJ446" s="170"/>
      <c r="BK446" s="167">
        <f t="shared" si="285"/>
        <v>0</v>
      </c>
      <c r="BL446" s="167">
        <f t="shared" si="286"/>
        <v>0</v>
      </c>
      <c r="BM446" s="167">
        <f t="shared" si="287"/>
        <v>0</v>
      </c>
      <c r="BN446" s="167">
        <f t="shared" si="288"/>
        <v>0</v>
      </c>
    </row>
    <row r="447" spans="1:66" s="171" customFormat="1" ht="15.75" hidden="1" customHeight="1" outlineLevel="3" x14ac:dyDescent="0.3">
      <c r="A447" s="169"/>
      <c r="B447" s="169"/>
      <c r="C447" s="169"/>
      <c r="D447" s="169"/>
      <c r="E447" s="169" t="s">
        <v>2706</v>
      </c>
      <c r="F447" s="169" t="s">
        <v>3208</v>
      </c>
      <c r="G447" s="169">
        <v>102</v>
      </c>
      <c r="H447" s="169" t="s">
        <v>297</v>
      </c>
      <c r="I447" s="165">
        <f t="shared" si="302"/>
        <v>0</v>
      </c>
      <c r="J447" s="165">
        <f t="shared" si="303"/>
        <v>0</v>
      </c>
      <c r="K447" s="150">
        <f t="shared" si="284"/>
        <v>0</v>
      </c>
      <c r="L447" s="150">
        <f t="shared" si="304"/>
        <v>0</v>
      </c>
      <c r="M447" s="166"/>
      <c r="N447" s="150"/>
      <c r="O447" s="150"/>
      <c r="P447" s="150"/>
      <c r="Q447" s="150"/>
      <c r="R447" s="150"/>
      <c r="S447" s="150"/>
      <c r="T447" s="150"/>
      <c r="U447" s="150"/>
      <c r="V447" s="150"/>
      <c r="W447" s="150"/>
      <c r="X447" s="150"/>
      <c r="Y447" s="150"/>
      <c r="Z447" s="150"/>
      <c r="AA447" s="150"/>
      <c r="AB447" s="150"/>
      <c r="AC447" s="165"/>
      <c r="AD447" s="165"/>
      <c r="AE447" s="165"/>
      <c r="AF447" s="165"/>
      <c r="AG447" s="165"/>
      <c r="AH447" s="165"/>
      <c r="AI447" s="150"/>
      <c r="AJ447" s="150"/>
      <c r="AK447" s="150"/>
      <c r="AL447" s="150"/>
      <c r="AM447" s="150"/>
      <c r="AN447" s="150"/>
      <c r="AO447" s="150"/>
      <c r="AP447" s="150"/>
      <c r="AQ447" s="150"/>
      <c r="AR447" s="150"/>
      <c r="AS447" s="150"/>
      <c r="AT447" s="150"/>
      <c r="AU447" s="150"/>
      <c r="AV447" s="150"/>
      <c r="AW447" s="150"/>
      <c r="AX447" s="150"/>
      <c r="AY447" s="150"/>
      <c r="AZ447" s="150"/>
      <c r="BA447" s="150"/>
      <c r="BB447" s="150"/>
      <c r="BC447" s="170"/>
      <c r="BD447" s="170"/>
      <c r="BE447" s="170"/>
      <c r="BF447" s="170"/>
      <c r="BG447" s="170"/>
      <c r="BH447" s="170"/>
      <c r="BI447" s="170"/>
      <c r="BJ447" s="170"/>
      <c r="BK447" s="167">
        <f t="shared" si="285"/>
        <v>0</v>
      </c>
      <c r="BL447" s="167">
        <f t="shared" si="286"/>
        <v>0</v>
      </c>
      <c r="BM447" s="167">
        <f t="shared" si="287"/>
        <v>0</v>
      </c>
      <c r="BN447" s="167">
        <f t="shared" si="288"/>
        <v>0</v>
      </c>
    </row>
    <row r="448" spans="1:66" s="171" customFormat="1" ht="15.75" hidden="1" customHeight="1" outlineLevel="3" x14ac:dyDescent="0.3">
      <c r="A448" s="169"/>
      <c r="B448" s="169"/>
      <c r="C448" s="169"/>
      <c r="D448" s="169"/>
      <c r="E448" s="169" t="s">
        <v>2706</v>
      </c>
      <c r="F448" s="169" t="s">
        <v>3208</v>
      </c>
      <c r="G448" s="169">
        <v>104</v>
      </c>
      <c r="H448" s="169" t="s">
        <v>300</v>
      </c>
      <c r="I448" s="165">
        <f t="shared" si="302"/>
        <v>0</v>
      </c>
      <c r="J448" s="165">
        <f t="shared" si="303"/>
        <v>0</v>
      </c>
      <c r="K448" s="150">
        <f t="shared" si="284"/>
        <v>0</v>
      </c>
      <c r="L448" s="150">
        <f t="shared" si="304"/>
        <v>0</v>
      </c>
      <c r="M448" s="166"/>
      <c r="N448" s="150"/>
      <c r="O448" s="150"/>
      <c r="P448" s="150"/>
      <c r="Q448" s="150"/>
      <c r="R448" s="150"/>
      <c r="S448" s="150"/>
      <c r="T448" s="150"/>
      <c r="U448" s="150"/>
      <c r="V448" s="150"/>
      <c r="W448" s="150"/>
      <c r="X448" s="150"/>
      <c r="Y448" s="150"/>
      <c r="Z448" s="150"/>
      <c r="AA448" s="150"/>
      <c r="AB448" s="150"/>
      <c r="AC448" s="165"/>
      <c r="AD448" s="165"/>
      <c r="AE448" s="165"/>
      <c r="AF448" s="165"/>
      <c r="AG448" s="165"/>
      <c r="AH448" s="165"/>
      <c r="AI448" s="150"/>
      <c r="AJ448" s="150"/>
      <c r="AK448" s="150"/>
      <c r="AL448" s="150"/>
      <c r="AM448" s="150"/>
      <c r="AN448" s="150"/>
      <c r="AO448" s="150"/>
      <c r="AP448" s="150"/>
      <c r="AQ448" s="150"/>
      <c r="AR448" s="150"/>
      <c r="AS448" s="150"/>
      <c r="AT448" s="150"/>
      <c r="AU448" s="150"/>
      <c r="AV448" s="150"/>
      <c r="AW448" s="150"/>
      <c r="AX448" s="150"/>
      <c r="AY448" s="150"/>
      <c r="AZ448" s="150"/>
      <c r="BA448" s="150"/>
      <c r="BB448" s="150"/>
      <c r="BC448" s="170"/>
      <c r="BD448" s="170"/>
      <c r="BE448" s="170"/>
      <c r="BF448" s="170"/>
      <c r="BG448" s="170"/>
      <c r="BH448" s="170"/>
      <c r="BI448" s="170"/>
      <c r="BJ448" s="170"/>
      <c r="BK448" s="167">
        <f t="shared" si="285"/>
        <v>0</v>
      </c>
      <c r="BL448" s="167">
        <f t="shared" si="286"/>
        <v>0</v>
      </c>
      <c r="BM448" s="167">
        <f t="shared" si="287"/>
        <v>0</v>
      </c>
      <c r="BN448" s="167">
        <f t="shared" si="288"/>
        <v>0</v>
      </c>
    </row>
    <row r="449" spans="1:66" s="171" customFormat="1" ht="15.75" hidden="1" customHeight="1" outlineLevel="3" x14ac:dyDescent="0.3">
      <c r="A449" s="169"/>
      <c r="B449" s="169"/>
      <c r="C449" s="169"/>
      <c r="D449" s="169"/>
      <c r="E449" s="169" t="s">
        <v>2706</v>
      </c>
      <c r="F449" s="169" t="s">
        <v>3208</v>
      </c>
      <c r="G449" s="169">
        <v>105</v>
      </c>
      <c r="H449" s="169" t="s">
        <v>302</v>
      </c>
      <c r="I449" s="165">
        <f t="shared" si="302"/>
        <v>0</v>
      </c>
      <c r="J449" s="165">
        <f t="shared" si="303"/>
        <v>0</v>
      </c>
      <c r="K449" s="150">
        <f t="shared" si="284"/>
        <v>0</v>
      </c>
      <c r="L449" s="150">
        <f t="shared" si="304"/>
        <v>0</v>
      </c>
      <c r="M449" s="166"/>
      <c r="N449" s="150"/>
      <c r="O449" s="150"/>
      <c r="P449" s="150"/>
      <c r="Q449" s="150"/>
      <c r="R449" s="150"/>
      <c r="S449" s="150"/>
      <c r="T449" s="150"/>
      <c r="U449" s="150"/>
      <c r="V449" s="150"/>
      <c r="W449" s="150"/>
      <c r="X449" s="150"/>
      <c r="Y449" s="150"/>
      <c r="Z449" s="150"/>
      <c r="AA449" s="150"/>
      <c r="AB449" s="150"/>
      <c r="AC449" s="165"/>
      <c r="AD449" s="165"/>
      <c r="AE449" s="165"/>
      <c r="AF449" s="165"/>
      <c r="AG449" s="165"/>
      <c r="AH449" s="165"/>
      <c r="AI449" s="150"/>
      <c r="AJ449" s="150"/>
      <c r="AK449" s="150"/>
      <c r="AL449" s="150"/>
      <c r="AM449" s="150"/>
      <c r="AN449" s="150"/>
      <c r="AO449" s="150"/>
      <c r="AP449" s="150"/>
      <c r="AQ449" s="150"/>
      <c r="AR449" s="150"/>
      <c r="AS449" s="150"/>
      <c r="AT449" s="150"/>
      <c r="AU449" s="150"/>
      <c r="AV449" s="150"/>
      <c r="AW449" s="150"/>
      <c r="AX449" s="150"/>
      <c r="AY449" s="150"/>
      <c r="AZ449" s="150"/>
      <c r="BA449" s="150"/>
      <c r="BB449" s="150"/>
      <c r="BC449" s="170"/>
      <c r="BD449" s="170"/>
      <c r="BE449" s="170"/>
      <c r="BF449" s="170"/>
      <c r="BG449" s="170"/>
      <c r="BH449" s="170"/>
      <c r="BI449" s="170"/>
      <c r="BJ449" s="170"/>
      <c r="BK449" s="167">
        <f t="shared" si="285"/>
        <v>0</v>
      </c>
      <c r="BL449" s="167">
        <f t="shared" si="286"/>
        <v>0</v>
      </c>
      <c r="BM449" s="167">
        <f t="shared" si="287"/>
        <v>0</v>
      </c>
      <c r="BN449" s="167">
        <f t="shared" si="288"/>
        <v>0</v>
      </c>
    </row>
    <row r="450" spans="1:66" s="171" customFormat="1" ht="15.75" hidden="1" customHeight="1" outlineLevel="3" x14ac:dyDescent="0.3">
      <c r="A450" s="169"/>
      <c r="B450" s="169"/>
      <c r="C450" s="169"/>
      <c r="D450" s="169"/>
      <c r="E450" s="169" t="s">
        <v>2706</v>
      </c>
      <c r="F450" s="169" t="s">
        <v>3208</v>
      </c>
      <c r="G450" s="169">
        <v>106</v>
      </c>
      <c r="H450" s="169" t="s">
        <v>304</v>
      </c>
      <c r="I450" s="165">
        <f t="shared" si="302"/>
        <v>0</v>
      </c>
      <c r="J450" s="165">
        <f t="shared" si="303"/>
        <v>0</v>
      </c>
      <c r="K450" s="150">
        <f t="shared" si="284"/>
        <v>0</v>
      </c>
      <c r="L450" s="150">
        <f t="shared" si="304"/>
        <v>0</v>
      </c>
      <c r="M450" s="166"/>
      <c r="N450" s="150"/>
      <c r="O450" s="150"/>
      <c r="P450" s="150"/>
      <c r="Q450" s="150"/>
      <c r="R450" s="150"/>
      <c r="S450" s="150"/>
      <c r="T450" s="150"/>
      <c r="U450" s="150"/>
      <c r="V450" s="150"/>
      <c r="W450" s="150"/>
      <c r="X450" s="150"/>
      <c r="Y450" s="150"/>
      <c r="Z450" s="150"/>
      <c r="AA450" s="150"/>
      <c r="AB450" s="150"/>
      <c r="AC450" s="165"/>
      <c r="AD450" s="165"/>
      <c r="AE450" s="165"/>
      <c r="AF450" s="165"/>
      <c r="AG450" s="165"/>
      <c r="AH450" s="165"/>
      <c r="AI450" s="150"/>
      <c r="AJ450" s="150"/>
      <c r="AK450" s="150"/>
      <c r="AL450" s="150"/>
      <c r="AM450" s="150"/>
      <c r="AN450" s="150"/>
      <c r="AO450" s="150"/>
      <c r="AP450" s="150"/>
      <c r="AQ450" s="150"/>
      <c r="AR450" s="150"/>
      <c r="AS450" s="150"/>
      <c r="AT450" s="150"/>
      <c r="AU450" s="150"/>
      <c r="AV450" s="150"/>
      <c r="AW450" s="150"/>
      <c r="AX450" s="150"/>
      <c r="AY450" s="150"/>
      <c r="AZ450" s="150"/>
      <c r="BA450" s="150"/>
      <c r="BB450" s="150"/>
      <c r="BC450" s="170"/>
      <c r="BD450" s="170"/>
      <c r="BE450" s="170"/>
      <c r="BF450" s="170"/>
      <c r="BG450" s="170"/>
      <c r="BH450" s="170"/>
      <c r="BI450" s="170"/>
      <c r="BJ450" s="170"/>
      <c r="BK450" s="167">
        <f t="shared" si="285"/>
        <v>0</v>
      </c>
      <c r="BL450" s="167">
        <f t="shared" si="286"/>
        <v>0</v>
      </c>
      <c r="BM450" s="167">
        <f t="shared" si="287"/>
        <v>0</v>
      </c>
      <c r="BN450" s="167">
        <f t="shared" si="288"/>
        <v>0</v>
      </c>
    </row>
    <row r="451" spans="1:66" s="171" customFormat="1" ht="15.75" hidden="1" customHeight="1" outlineLevel="3" x14ac:dyDescent="0.3">
      <c r="A451" s="169"/>
      <c r="B451" s="169"/>
      <c r="C451" s="169"/>
      <c r="D451" s="169"/>
      <c r="E451" s="169" t="s">
        <v>2706</v>
      </c>
      <c r="F451" s="169" t="s">
        <v>3208</v>
      </c>
      <c r="G451" s="169">
        <v>108</v>
      </c>
      <c r="H451" s="169" t="s">
        <v>307</v>
      </c>
      <c r="I451" s="165">
        <f t="shared" si="302"/>
        <v>0</v>
      </c>
      <c r="J451" s="165">
        <f t="shared" si="303"/>
        <v>0</v>
      </c>
      <c r="K451" s="150">
        <f t="shared" si="284"/>
        <v>0</v>
      </c>
      <c r="L451" s="150">
        <f t="shared" si="304"/>
        <v>0</v>
      </c>
      <c r="M451" s="166"/>
      <c r="N451" s="150"/>
      <c r="O451" s="150"/>
      <c r="P451" s="150"/>
      <c r="Q451" s="150"/>
      <c r="R451" s="150"/>
      <c r="S451" s="150"/>
      <c r="T451" s="150"/>
      <c r="U451" s="150"/>
      <c r="V451" s="150"/>
      <c r="W451" s="150"/>
      <c r="X451" s="150"/>
      <c r="Y451" s="150"/>
      <c r="Z451" s="150"/>
      <c r="AA451" s="150"/>
      <c r="AB451" s="150"/>
      <c r="AC451" s="165"/>
      <c r="AD451" s="165"/>
      <c r="AE451" s="165"/>
      <c r="AF451" s="165"/>
      <c r="AG451" s="165"/>
      <c r="AH451" s="165"/>
      <c r="AI451" s="150"/>
      <c r="AJ451" s="150"/>
      <c r="AK451" s="150"/>
      <c r="AL451" s="150"/>
      <c r="AM451" s="150"/>
      <c r="AN451" s="150"/>
      <c r="AO451" s="150"/>
      <c r="AP451" s="150"/>
      <c r="AQ451" s="150"/>
      <c r="AR451" s="150"/>
      <c r="AS451" s="150"/>
      <c r="AT451" s="150"/>
      <c r="AU451" s="150"/>
      <c r="AV451" s="150"/>
      <c r="AW451" s="150"/>
      <c r="AX451" s="150"/>
      <c r="AY451" s="150"/>
      <c r="AZ451" s="150"/>
      <c r="BA451" s="150"/>
      <c r="BB451" s="150"/>
      <c r="BC451" s="170"/>
      <c r="BD451" s="170"/>
      <c r="BE451" s="170"/>
      <c r="BF451" s="170"/>
      <c r="BG451" s="170"/>
      <c r="BH451" s="170"/>
      <c r="BI451" s="170"/>
      <c r="BJ451" s="170"/>
      <c r="BK451" s="167">
        <f t="shared" ref="BK451:BK492" si="305">+SUM(N451:AA451)</f>
        <v>0</v>
      </c>
      <c r="BL451" s="167">
        <f t="shared" ref="BL451:BL493" si="306">+AB451</f>
        <v>0</v>
      </c>
      <c r="BM451" s="167">
        <f t="shared" ref="BM451:BM493" si="307">+SUM(AC451:AO451)</f>
        <v>0</v>
      </c>
      <c r="BN451" s="167">
        <f t="shared" ref="BN451:BN493" si="308">+SUM(AP451:BJ451)</f>
        <v>0</v>
      </c>
    </row>
    <row r="452" spans="1:66" s="171" customFormat="1" ht="15.75" hidden="1" customHeight="1" outlineLevel="3" x14ac:dyDescent="0.3">
      <c r="A452" s="169"/>
      <c r="B452" s="169"/>
      <c r="C452" s="169"/>
      <c r="D452" s="169"/>
      <c r="E452" s="169" t="s">
        <v>2706</v>
      </c>
      <c r="F452" s="169" t="s">
        <v>3208</v>
      </c>
      <c r="G452" s="169">
        <v>109</v>
      </c>
      <c r="H452" s="169" t="s">
        <v>309</v>
      </c>
      <c r="I452" s="165">
        <f t="shared" si="302"/>
        <v>0</v>
      </c>
      <c r="J452" s="165">
        <f t="shared" si="303"/>
        <v>0</v>
      </c>
      <c r="K452" s="150">
        <f t="shared" si="284"/>
        <v>0</v>
      </c>
      <c r="L452" s="150">
        <f t="shared" si="304"/>
        <v>0</v>
      </c>
      <c r="M452" s="166"/>
      <c r="N452" s="150"/>
      <c r="O452" s="150"/>
      <c r="P452" s="150"/>
      <c r="Q452" s="150"/>
      <c r="R452" s="150"/>
      <c r="S452" s="150"/>
      <c r="T452" s="150"/>
      <c r="U452" s="150"/>
      <c r="V452" s="150"/>
      <c r="W452" s="150"/>
      <c r="X452" s="150"/>
      <c r="Y452" s="150"/>
      <c r="Z452" s="150"/>
      <c r="AA452" s="150"/>
      <c r="AB452" s="150"/>
      <c r="AC452" s="165"/>
      <c r="AD452" s="165"/>
      <c r="AE452" s="165"/>
      <c r="AF452" s="165"/>
      <c r="AG452" s="165"/>
      <c r="AH452" s="165"/>
      <c r="AI452" s="150"/>
      <c r="AJ452" s="150"/>
      <c r="AK452" s="150"/>
      <c r="AL452" s="150"/>
      <c r="AM452" s="150"/>
      <c r="AN452" s="150"/>
      <c r="AO452" s="150"/>
      <c r="AP452" s="150"/>
      <c r="AQ452" s="150"/>
      <c r="AR452" s="150"/>
      <c r="AS452" s="150"/>
      <c r="AT452" s="150"/>
      <c r="AU452" s="150"/>
      <c r="AV452" s="150"/>
      <c r="AW452" s="150"/>
      <c r="AX452" s="150"/>
      <c r="AY452" s="150"/>
      <c r="AZ452" s="150"/>
      <c r="BA452" s="150"/>
      <c r="BB452" s="150"/>
      <c r="BC452" s="170"/>
      <c r="BD452" s="170"/>
      <c r="BE452" s="170"/>
      <c r="BF452" s="170"/>
      <c r="BG452" s="170"/>
      <c r="BH452" s="170"/>
      <c r="BI452" s="170"/>
      <c r="BJ452" s="170"/>
      <c r="BK452" s="167">
        <f t="shared" si="305"/>
        <v>0</v>
      </c>
      <c r="BL452" s="167">
        <f t="shared" si="306"/>
        <v>0</v>
      </c>
      <c r="BM452" s="167">
        <f t="shared" si="307"/>
        <v>0</v>
      </c>
      <c r="BN452" s="167">
        <f t="shared" si="308"/>
        <v>0</v>
      </c>
    </row>
    <row r="453" spans="1:66" s="171" customFormat="1" ht="15.75" hidden="1" customHeight="1" outlineLevel="3" x14ac:dyDescent="0.3">
      <c r="A453" s="169"/>
      <c r="B453" s="169"/>
      <c r="C453" s="169"/>
      <c r="D453" s="169"/>
      <c r="E453" s="169" t="s">
        <v>2706</v>
      </c>
      <c r="F453" s="169" t="s">
        <v>3208</v>
      </c>
      <c r="G453" s="169">
        <v>110</v>
      </c>
      <c r="H453" s="169" t="s">
        <v>310</v>
      </c>
      <c r="I453" s="165">
        <f t="shared" si="302"/>
        <v>0</v>
      </c>
      <c r="J453" s="165">
        <f t="shared" si="303"/>
        <v>0</v>
      </c>
      <c r="K453" s="150">
        <f t="shared" si="284"/>
        <v>0</v>
      </c>
      <c r="L453" s="150">
        <f t="shared" si="304"/>
        <v>0</v>
      </c>
      <c r="M453" s="166"/>
      <c r="N453" s="150"/>
      <c r="O453" s="150"/>
      <c r="P453" s="150"/>
      <c r="Q453" s="150"/>
      <c r="R453" s="150"/>
      <c r="S453" s="150"/>
      <c r="T453" s="150"/>
      <c r="U453" s="150"/>
      <c r="V453" s="150"/>
      <c r="W453" s="150"/>
      <c r="X453" s="150"/>
      <c r="Y453" s="150"/>
      <c r="Z453" s="150"/>
      <c r="AA453" s="150"/>
      <c r="AB453" s="150"/>
      <c r="AC453" s="165"/>
      <c r="AD453" s="165"/>
      <c r="AE453" s="165"/>
      <c r="AF453" s="165"/>
      <c r="AG453" s="165"/>
      <c r="AH453" s="165"/>
      <c r="AI453" s="150"/>
      <c r="AJ453" s="150"/>
      <c r="AK453" s="150"/>
      <c r="AL453" s="150"/>
      <c r="AM453" s="150"/>
      <c r="AN453" s="150"/>
      <c r="AO453" s="150"/>
      <c r="AP453" s="150"/>
      <c r="AQ453" s="150"/>
      <c r="AR453" s="150"/>
      <c r="AS453" s="150"/>
      <c r="AT453" s="150"/>
      <c r="AU453" s="150"/>
      <c r="AV453" s="150"/>
      <c r="AW453" s="150"/>
      <c r="AX453" s="150"/>
      <c r="AY453" s="150"/>
      <c r="AZ453" s="150"/>
      <c r="BA453" s="150"/>
      <c r="BB453" s="150"/>
      <c r="BC453" s="170"/>
      <c r="BD453" s="170"/>
      <c r="BE453" s="170"/>
      <c r="BF453" s="170"/>
      <c r="BG453" s="170"/>
      <c r="BH453" s="170"/>
      <c r="BI453" s="170"/>
      <c r="BJ453" s="170"/>
      <c r="BK453" s="167">
        <f t="shared" si="305"/>
        <v>0</v>
      </c>
      <c r="BL453" s="167">
        <f t="shared" si="306"/>
        <v>0</v>
      </c>
      <c r="BM453" s="167">
        <f t="shared" si="307"/>
        <v>0</v>
      </c>
      <c r="BN453" s="167">
        <f t="shared" si="308"/>
        <v>0</v>
      </c>
    </row>
    <row r="454" spans="1:66" s="171" customFormat="1" ht="15.75" hidden="1" customHeight="1" outlineLevel="3" x14ac:dyDescent="0.3">
      <c r="A454" s="169"/>
      <c r="B454" s="169"/>
      <c r="C454" s="169"/>
      <c r="D454" s="169"/>
      <c r="E454" s="169" t="s">
        <v>2706</v>
      </c>
      <c r="F454" s="169" t="s">
        <v>3208</v>
      </c>
      <c r="G454" s="169">
        <v>112</v>
      </c>
      <c r="H454" s="169" t="s">
        <v>313</v>
      </c>
      <c r="I454" s="165">
        <f t="shared" si="302"/>
        <v>0</v>
      </c>
      <c r="J454" s="165">
        <f t="shared" si="303"/>
        <v>0</v>
      </c>
      <c r="K454" s="150">
        <f t="shared" si="284"/>
        <v>0</v>
      </c>
      <c r="L454" s="150">
        <f t="shared" si="304"/>
        <v>0</v>
      </c>
      <c r="M454" s="166"/>
      <c r="N454" s="150"/>
      <c r="O454" s="150"/>
      <c r="P454" s="150"/>
      <c r="Q454" s="150"/>
      <c r="R454" s="150"/>
      <c r="S454" s="150"/>
      <c r="T454" s="150"/>
      <c r="U454" s="150"/>
      <c r="V454" s="150"/>
      <c r="W454" s="150"/>
      <c r="X454" s="150"/>
      <c r="Y454" s="150"/>
      <c r="Z454" s="150"/>
      <c r="AA454" s="150"/>
      <c r="AB454" s="150"/>
      <c r="AC454" s="165"/>
      <c r="AD454" s="165"/>
      <c r="AE454" s="165"/>
      <c r="AF454" s="165"/>
      <c r="AG454" s="165"/>
      <c r="AH454" s="165"/>
      <c r="AI454" s="150"/>
      <c r="AJ454" s="150"/>
      <c r="AK454" s="150"/>
      <c r="AL454" s="150"/>
      <c r="AM454" s="150"/>
      <c r="AN454" s="150"/>
      <c r="AO454" s="150"/>
      <c r="AP454" s="150"/>
      <c r="AQ454" s="150"/>
      <c r="AR454" s="150"/>
      <c r="AS454" s="150"/>
      <c r="AT454" s="150"/>
      <c r="AU454" s="150"/>
      <c r="AV454" s="150"/>
      <c r="AW454" s="150"/>
      <c r="AX454" s="150"/>
      <c r="AY454" s="150"/>
      <c r="AZ454" s="150"/>
      <c r="BA454" s="150"/>
      <c r="BB454" s="150"/>
      <c r="BC454" s="170"/>
      <c r="BD454" s="170"/>
      <c r="BE454" s="170"/>
      <c r="BF454" s="170"/>
      <c r="BG454" s="170"/>
      <c r="BH454" s="170"/>
      <c r="BI454" s="170"/>
      <c r="BJ454" s="170"/>
      <c r="BK454" s="167">
        <f t="shared" si="305"/>
        <v>0</v>
      </c>
      <c r="BL454" s="167">
        <f t="shared" si="306"/>
        <v>0</v>
      </c>
      <c r="BM454" s="167">
        <f t="shared" si="307"/>
        <v>0</v>
      </c>
      <c r="BN454" s="167">
        <f t="shared" si="308"/>
        <v>0</v>
      </c>
    </row>
    <row r="455" spans="1:66" s="171" customFormat="1" ht="15.75" hidden="1" customHeight="1" outlineLevel="3" x14ac:dyDescent="0.3">
      <c r="A455" s="169"/>
      <c r="B455" s="169"/>
      <c r="C455" s="169"/>
      <c r="D455" s="169"/>
      <c r="E455" s="169" t="s">
        <v>2706</v>
      </c>
      <c r="F455" s="169" t="s">
        <v>3208</v>
      </c>
      <c r="G455" s="169">
        <v>113</v>
      </c>
      <c r="H455" s="169" t="s">
        <v>315</v>
      </c>
      <c r="I455" s="165">
        <f t="shared" si="302"/>
        <v>0</v>
      </c>
      <c r="J455" s="165">
        <f t="shared" si="303"/>
        <v>0</v>
      </c>
      <c r="K455" s="150">
        <f t="shared" si="284"/>
        <v>0</v>
      </c>
      <c r="L455" s="150">
        <f t="shared" si="304"/>
        <v>0</v>
      </c>
      <c r="M455" s="166"/>
      <c r="N455" s="150"/>
      <c r="O455" s="150"/>
      <c r="P455" s="150"/>
      <c r="Q455" s="150"/>
      <c r="R455" s="150"/>
      <c r="S455" s="150"/>
      <c r="T455" s="150"/>
      <c r="U455" s="150"/>
      <c r="V455" s="150"/>
      <c r="W455" s="150"/>
      <c r="X455" s="150"/>
      <c r="Y455" s="150"/>
      <c r="Z455" s="150"/>
      <c r="AA455" s="150"/>
      <c r="AB455" s="150"/>
      <c r="AC455" s="165"/>
      <c r="AD455" s="165"/>
      <c r="AE455" s="165"/>
      <c r="AF455" s="165"/>
      <c r="AG455" s="165"/>
      <c r="AH455" s="165"/>
      <c r="AI455" s="150"/>
      <c r="AJ455" s="150"/>
      <c r="AK455" s="150"/>
      <c r="AL455" s="150"/>
      <c r="AM455" s="150"/>
      <c r="AN455" s="150"/>
      <c r="AO455" s="150"/>
      <c r="AP455" s="150"/>
      <c r="AQ455" s="150"/>
      <c r="AR455" s="150"/>
      <c r="AS455" s="150"/>
      <c r="AT455" s="150"/>
      <c r="AU455" s="150"/>
      <c r="AV455" s="150"/>
      <c r="AW455" s="150"/>
      <c r="AX455" s="150"/>
      <c r="AY455" s="150"/>
      <c r="AZ455" s="150"/>
      <c r="BA455" s="150"/>
      <c r="BB455" s="150"/>
      <c r="BC455" s="170"/>
      <c r="BD455" s="170"/>
      <c r="BE455" s="170"/>
      <c r="BF455" s="170"/>
      <c r="BG455" s="170"/>
      <c r="BH455" s="170"/>
      <c r="BI455" s="170"/>
      <c r="BJ455" s="170"/>
      <c r="BK455" s="167">
        <f t="shared" si="305"/>
        <v>0</v>
      </c>
      <c r="BL455" s="167">
        <f t="shared" si="306"/>
        <v>0</v>
      </c>
      <c r="BM455" s="167">
        <f t="shared" si="307"/>
        <v>0</v>
      </c>
      <c r="BN455" s="167">
        <f t="shared" si="308"/>
        <v>0</v>
      </c>
    </row>
    <row r="456" spans="1:66" s="171" customFormat="1" ht="15.75" hidden="1" customHeight="1" outlineLevel="3" x14ac:dyDescent="0.3">
      <c r="A456" s="169"/>
      <c r="B456" s="169"/>
      <c r="C456" s="169"/>
      <c r="D456" s="169"/>
      <c r="E456" s="169" t="s">
        <v>2706</v>
      </c>
      <c r="F456" s="169" t="s">
        <v>3208</v>
      </c>
      <c r="G456" s="169">
        <v>115</v>
      </c>
      <c r="H456" s="169" t="s">
        <v>319</v>
      </c>
      <c r="I456" s="165">
        <f t="shared" si="302"/>
        <v>0</v>
      </c>
      <c r="J456" s="165">
        <f t="shared" si="303"/>
        <v>0</v>
      </c>
      <c r="K456" s="150">
        <f t="shared" si="284"/>
        <v>0</v>
      </c>
      <c r="L456" s="150">
        <f t="shared" si="304"/>
        <v>0</v>
      </c>
      <c r="M456" s="166"/>
      <c r="N456" s="150"/>
      <c r="O456" s="150"/>
      <c r="P456" s="150"/>
      <c r="Q456" s="150"/>
      <c r="R456" s="150"/>
      <c r="S456" s="150"/>
      <c r="T456" s="150"/>
      <c r="U456" s="150"/>
      <c r="V456" s="150"/>
      <c r="W456" s="150"/>
      <c r="X456" s="150"/>
      <c r="Y456" s="150"/>
      <c r="Z456" s="150"/>
      <c r="AA456" s="150"/>
      <c r="AB456" s="150"/>
      <c r="AC456" s="165"/>
      <c r="AD456" s="165"/>
      <c r="AE456" s="165"/>
      <c r="AF456" s="165"/>
      <c r="AG456" s="165"/>
      <c r="AH456" s="165"/>
      <c r="AI456" s="150"/>
      <c r="AJ456" s="150"/>
      <c r="AK456" s="150"/>
      <c r="AL456" s="150"/>
      <c r="AM456" s="150"/>
      <c r="AN456" s="150"/>
      <c r="AO456" s="150"/>
      <c r="AP456" s="150"/>
      <c r="AQ456" s="150"/>
      <c r="AR456" s="150"/>
      <c r="AS456" s="150"/>
      <c r="AT456" s="150"/>
      <c r="AU456" s="150"/>
      <c r="AV456" s="150"/>
      <c r="AW456" s="150"/>
      <c r="AX456" s="150"/>
      <c r="AY456" s="150"/>
      <c r="AZ456" s="150"/>
      <c r="BA456" s="150"/>
      <c r="BB456" s="150"/>
      <c r="BC456" s="170"/>
      <c r="BD456" s="170"/>
      <c r="BE456" s="170"/>
      <c r="BF456" s="170"/>
      <c r="BG456" s="170"/>
      <c r="BH456" s="170"/>
      <c r="BI456" s="170"/>
      <c r="BJ456" s="170"/>
      <c r="BK456" s="167">
        <f t="shared" si="305"/>
        <v>0</v>
      </c>
      <c r="BL456" s="167">
        <f t="shared" si="306"/>
        <v>0</v>
      </c>
      <c r="BM456" s="167">
        <f t="shared" si="307"/>
        <v>0</v>
      </c>
      <c r="BN456" s="167">
        <f t="shared" si="308"/>
        <v>0</v>
      </c>
    </row>
    <row r="457" spans="1:66" s="171" customFormat="1" ht="15.75" hidden="1" customHeight="1" outlineLevel="3" x14ac:dyDescent="0.3">
      <c r="A457" s="169"/>
      <c r="B457" s="169"/>
      <c r="C457" s="169"/>
      <c r="D457" s="169"/>
      <c r="E457" s="169" t="s">
        <v>2706</v>
      </c>
      <c r="F457" s="169" t="s">
        <v>3208</v>
      </c>
      <c r="G457" s="169">
        <v>116</v>
      </c>
      <c r="H457" s="169" t="s">
        <v>321</v>
      </c>
      <c r="I457" s="165">
        <f t="shared" si="302"/>
        <v>0</v>
      </c>
      <c r="J457" s="165">
        <f t="shared" si="303"/>
        <v>0</v>
      </c>
      <c r="K457" s="150">
        <f t="shared" si="284"/>
        <v>0</v>
      </c>
      <c r="L457" s="150">
        <f t="shared" si="304"/>
        <v>0</v>
      </c>
      <c r="M457" s="166"/>
      <c r="N457" s="150"/>
      <c r="O457" s="150"/>
      <c r="P457" s="150"/>
      <c r="Q457" s="150"/>
      <c r="R457" s="150"/>
      <c r="S457" s="150"/>
      <c r="T457" s="150"/>
      <c r="U457" s="150"/>
      <c r="V457" s="150"/>
      <c r="W457" s="150"/>
      <c r="X457" s="150"/>
      <c r="Y457" s="150"/>
      <c r="Z457" s="150"/>
      <c r="AA457" s="150"/>
      <c r="AB457" s="150"/>
      <c r="AC457" s="165"/>
      <c r="AD457" s="165"/>
      <c r="AE457" s="165"/>
      <c r="AF457" s="165"/>
      <c r="AG457" s="165"/>
      <c r="AH457" s="165"/>
      <c r="AI457" s="150"/>
      <c r="AJ457" s="150"/>
      <c r="AK457" s="150"/>
      <c r="AL457" s="150"/>
      <c r="AM457" s="150"/>
      <c r="AN457" s="150"/>
      <c r="AO457" s="150"/>
      <c r="AP457" s="150"/>
      <c r="AQ457" s="150"/>
      <c r="AR457" s="150"/>
      <c r="AS457" s="150"/>
      <c r="AT457" s="150"/>
      <c r="AU457" s="150"/>
      <c r="AV457" s="150"/>
      <c r="AW457" s="150"/>
      <c r="AX457" s="150"/>
      <c r="AY457" s="150"/>
      <c r="AZ457" s="150"/>
      <c r="BA457" s="150"/>
      <c r="BB457" s="150"/>
      <c r="BC457" s="170"/>
      <c r="BD457" s="170"/>
      <c r="BE457" s="170"/>
      <c r="BF457" s="170"/>
      <c r="BG457" s="170"/>
      <c r="BH457" s="170"/>
      <c r="BI457" s="170"/>
      <c r="BJ457" s="170"/>
      <c r="BK457" s="167">
        <f t="shared" si="305"/>
        <v>0</v>
      </c>
      <c r="BL457" s="167">
        <f t="shared" si="306"/>
        <v>0</v>
      </c>
      <c r="BM457" s="167">
        <f t="shared" si="307"/>
        <v>0</v>
      </c>
      <c r="BN457" s="167">
        <f t="shared" si="308"/>
        <v>0</v>
      </c>
    </row>
    <row r="458" spans="1:66" s="171" customFormat="1" ht="15.75" hidden="1" customHeight="1" outlineLevel="3" x14ac:dyDescent="0.3">
      <c r="A458" s="169"/>
      <c r="B458" s="169"/>
      <c r="C458" s="169"/>
      <c r="D458" s="169"/>
      <c r="E458" s="169" t="s">
        <v>2706</v>
      </c>
      <c r="F458" s="169" t="s">
        <v>3208</v>
      </c>
      <c r="G458" s="169">
        <v>117</v>
      </c>
      <c r="H458" s="169" t="s">
        <v>3258</v>
      </c>
      <c r="I458" s="165">
        <f t="shared" si="302"/>
        <v>0</v>
      </c>
      <c r="J458" s="165">
        <f t="shared" si="303"/>
        <v>0</v>
      </c>
      <c r="K458" s="150">
        <f t="shared" si="284"/>
        <v>0</v>
      </c>
      <c r="L458" s="150">
        <f t="shared" si="304"/>
        <v>0</v>
      </c>
      <c r="M458" s="166"/>
      <c r="N458" s="150"/>
      <c r="O458" s="150"/>
      <c r="P458" s="150"/>
      <c r="Q458" s="150"/>
      <c r="R458" s="150"/>
      <c r="S458" s="150"/>
      <c r="T458" s="150"/>
      <c r="U458" s="150"/>
      <c r="V458" s="150"/>
      <c r="W458" s="150"/>
      <c r="X458" s="150"/>
      <c r="Y458" s="150"/>
      <c r="Z458" s="150"/>
      <c r="AA458" s="150"/>
      <c r="AB458" s="150"/>
      <c r="AC458" s="165"/>
      <c r="AD458" s="165"/>
      <c r="AE458" s="165"/>
      <c r="AF458" s="165"/>
      <c r="AG458" s="165"/>
      <c r="AH458" s="165"/>
      <c r="AI458" s="150"/>
      <c r="AJ458" s="150"/>
      <c r="AK458" s="150"/>
      <c r="AL458" s="150"/>
      <c r="AM458" s="150"/>
      <c r="AN458" s="150"/>
      <c r="AO458" s="150"/>
      <c r="AP458" s="150"/>
      <c r="AQ458" s="150"/>
      <c r="AR458" s="150"/>
      <c r="AS458" s="150"/>
      <c r="AT458" s="150"/>
      <c r="AU458" s="150"/>
      <c r="AV458" s="150"/>
      <c r="AW458" s="150"/>
      <c r="AX458" s="150"/>
      <c r="AY458" s="150"/>
      <c r="AZ458" s="150"/>
      <c r="BA458" s="150"/>
      <c r="BB458" s="150"/>
      <c r="BC458" s="170"/>
      <c r="BD458" s="170"/>
      <c r="BE458" s="170"/>
      <c r="BF458" s="170"/>
      <c r="BG458" s="170"/>
      <c r="BH458" s="170"/>
      <c r="BI458" s="170"/>
      <c r="BJ458" s="170"/>
      <c r="BK458" s="167">
        <f t="shared" si="305"/>
        <v>0</v>
      </c>
      <c r="BL458" s="167">
        <f t="shared" si="306"/>
        <v>0</v>
      </c>
      <c r="BM458" s="167">
        <f t="shared" si="307"/>
        <v>0</v>
      </c>
      <c r="BN458" s="167">
        <f t="shared" si="308"/>
        <v>0</v>
      </c>
    </row>
    <row r="459" spans="1:66" s="171" customFormat="1" ht="15.75" hidden="1" customHeight="1" outlineLevel="3" x14ac:dyDescent="0.3">
      <c r="A459" s="169"/>
      <c r="B459" s="169"/>
      <c r="C459" s="169"/>
      <c r="D459" s="169"/>
      <c r="E459" s="169" t="s">
        <v>2706</v>
      </c>
      <c r="F459" s="169" t="s">
        <v>3208</v>
      </c>
      <c r="G459" s="169">
        <v>118</v>
      </c>
      <c r="H459" s="169" t="s">
        <v>3259</v>
      </c>
      <c r="I459" s="165">
        <f t="shared" si="302"/>
        <v>0</v>
      </c>
      <c r="J459" s="165">
        <f t="shared" ref="J459:J492" si="309">SUM(N459:AO459)</f>
        <v>0</v>
      </c>
      <c r="K459" s="150">
        <f t="shared" si="284"/>
        <v>0</v>
      </c>
      <c r="L459" s="150">
        <f t="shared" ref="L459:L492" si="310">SUM(N459:BJ459)</f>
        <v>0</v>
      </c>
      <c r="M459" s="166"/>
      <c r="N459" s="150"/>
      <c r="O459" s="150"/>
      <c r="P459" s="150"/>
      <c r="Q459" s="150"/>
      <c r="R459" s="150"/>
      <c r="S459" s="150"/>
      <c r="T459" s="150"/>
      <c r="U459" s="150"/>
      <c r="V459" s="150"/>
      <c r="W459" s="150"/>
      <c r="X459" s="150"/>
      <c r="Y459" s="150"/>
      <c r="Z459" s="150"/>
      <c r="AA459" s="150"/>
      <c r="AB459" s="150"/>
      <c r="AC459" s="165"/>
      <c r="AD459" s="165"/>
      <c r="AE459" s="165"/>
      <c r="AF459" s="165"/>
      <c r="AG459" s="165"/>
      <c r="AH459" s="165"/>
      <c r="AI459" s="150"/>
      <c r="AJ459" s="150"/>
      <c r="AK459" s="150"/>
      <c r="AL459" s="150"/>
      <c r="AM459" s="150"/>
      <c r="AN459" s="150"/>
      <c r="AO459" s="150"/>
      <c r="AP459" s="150"/>
      <c r="AQ459" s="150"/>
      <c r="AR459" s="150"/>
      <c r="AS459" s="150"/>
      <c r="AT459" s="150"/>
      <c r="AU459" s="150"/>
      <c r="AV459" s="150"/>
      <c r="AW459" s="150"/>
      <c r="AX459" s="150"/>
      <c r="AY459" s="150"/>
      <c r="AZ459" s="150"/>
      <c r="BA459" s="150"/>
      <c r="BB459" s="150"/>
      <c r="BC459" s="170"/>
      <c r="BD459" s="170"/>
      <c r="BE459" s="170"/>
      <c r="BF459" s="170"/>
      <c r="BG459" s="170"/>
      <c r="BH459" s="170"/>
      <c r="BI459" s="170"/>
      <c r="BJ459" s="170"/>
      <c r="BK459" s="167">
        <f t="shared" si="305"/>
        <v>0</v>
      </c>
      <c r="BL459" s="167">
        <f t="shared" si="306"/>
        <v>0</v>
      </c>
      <c r="BM459" s="167">
        <f t="shared" si="307"/>
        <v>0</v>
      </c>
      <c r="BN459" s="167">
        <f t="shared" si="308"/>
        <v>0</v>
      </c>
    </row>
    <row r="460" spans="1:66" s="171" customFormat="1" ht="15.75" hidden="1" customHeight="1" outlineLevel="3" x14ac:dyDescent="0.3">
      <c r="A460" s="169"/>
      <c r="B460" s="169"/>
      <c r="C460" s="169"/>
      <c r="D460" s="169"/>
      <c r="E460" s="169" t="s">
        <v>2706</v>
      </c>
      <c r="F460" s="169" t="s">
        <v>3208</v>
      </c>
      <c r="G460" s="169">
        <v>119</v>
      </c>
      <c r="H460" s="169" t="s">
        <v>324</v>
      </c>
      <c r="I460" s="165">
        <f t="shared" si="302"/>
        <v>0</v>
      </c>
      <c r="J460" s="165">
        <f t="shared" si="309"/>
        <v>0</v>
      </c>
      <c r="K460" s="150">
        <f t="shared" si="284"/>
        <v>0</v>
      </c>
      <c r="L460" s="150">
        <f t="shared" si="310"/>
        <v>0</v>
      </c>
      <c r="M460" s="166"/>
      <c r="N460" s="150"/>
      <c r="O460" s="150"/>
      <c r="P460" s="150"/>
      <c r="Q460" s="150"/>
      <c r="R460" s="150"/>
      <c r="S460" s="150"/>
      <c r="T460" s="150"/>
      <c r="U460" s="150"/>
      <c r="V460" s="150"/>
      <c r="W460" s="150"/>
      <c r="X460" s="150"/>
      <c r="Y460" s="150"/>
      <c r="Z460" s="150"/>
      <c r="AA460" s="150"/>
      <c r="AB460" s="150"/>
      <c r="AC460" s="165"/>
      <c r="AD460" s="165"/>
      <c r="AE460" s="165"/>
      <c r="AF460" s="165"/>
      <c r="AG460" s="165"/>
      <c r="AH460" s="165"/>
      <c r="AI460" s="150"/>
      <c r="AJ460" s="150"/>
      <c r="AK460" s="150"/>
      <c r="AL460" s="150"/>
      <c r="AM460" s="150"/>
      <c r="AN460" s="150"/>
      <c r="AO460" s="150"/>
      <c r="AP460" s="150"/>
      <c r="AQ460" s="150"/>
      <c r="AR460" s="150"/>
      <c r="AS460" s="150"/>
      <c r="AT460" s="150"/>
      <c r="AU460" s="150"/>
      <c r="AV460" s="150"/>
      <c r="AW460" s="150"/>
      <c r="AX460" s="150"/>
      <c r="AY460" s="150"/>
      <c r="AZ460" s="150"/>
      <c r="BA460" s="150"/>
      <c r="BB460" s="150"/>
      <c r="BC460" s="170"/>
      <c r="BD460" s="170"/>
      <c r="BE460" s="170"/>
      <c r="BF460" s="170"/>
      <c r="BG460" s="170"/>
      <c r="BH460" s="170"/>
      <c r="BI460" s="170"/>
      <c r="BJ460" s="170"/>
      <c r="BK460" s="167">
        <f t="shared" si="305"/>
        <v>0</v>
      </c>
      <c r="BL460" s="167">
        <f t="shared" si="306"/>
        <v>0</v>
      </c>
      <c r="BM460" s="167">
        <f t="shared" si="307"/>
        <v>0</v>
      </c>
      <c r="BN460" s="167">
        <f t="shared" si="308"/>
        <v>0</v>
      </c>
    </row>
    <row r="461" spans="1:66" s="171" customFormat="1" ht="15.75" hidden="1" customHeight="1" outlineLevel="3" x14ac:dyDescent="0.3">
      <c r="A461" s="169"/>
      <c r="B461" s="169"/>
      <c r="C461" s="169"/>
      <c r="D461" s="169"/>
      <c r="E461" s="169" t="s">
        <v>2706</v>
      </c>
      <c r="F461" s="169" t="s">
        <v>3208</v>
      </c>
      <c r="G461" s="169">
        <v>120</v>
      </c>
      <c r="H461" s="169" t="s">
        <v>3260</v>
      </c>
      <c r="I461" s="165">
        <f t="shared" si="302"/>
        <v>0</v>
      </c>
      <c r="J461" s="165">
        <f t="shared" si="309"/>
        <v>0</v>
      </c>
      <c r="K461" s="150">
        <f t="shared" si="284"/>
        <v>0</v>
      </c>
      <c r="L461" s="150">
        <f t="shared" si="310"/>
        <v>0</v>
      </c>
      <c r="M461" s="166"/>
      <c r="N461" s="150"/>
      <c r="O461" s="150"/>
      <c r="P461" s="150"/>
      <c r="Q461" s="150"/>
      <c r="R461" s="150"/>
      <c r="S461" s="150"/>
      <c r="T461" s="150"/>
      <c r="U461" s="150"/>
      <c r="V461" s="150"/>
      <c r="W461" s="150"/>
      <c r="X461" s="150"/>
      <c r="Y461" s="150"/>
      <c r="Z461" s="150"/>
      <c r="AA461" s="150"/>
      <c r="AB461" s="150"/>
      <c r="AC461" s="165"/>
      <c r="AD461" s="165"/>
      <c r="AE461" s="165"/>
      <c r="AF461" s="165"/>
      <c r="AG461" s="165"/>
      <c r="AH461" s="165"/>
      <c r="AI461" s="150"/>
      <c r="AJ461" s="150"/>
      <c r="AK461" s="150"/>
      <c r="AL461" s="150"/>
      <c r="AM461" s="150"/>
      <c r="AN461" s="150"/>
      <c r="AO461" s="150"/>
      <c r="AP461" s="150"/>
      <c r="AQ461" s="150"/>
      <c r="AR461" s="150"/>
      <c r="AS461" s="150"/>
      <c r="AT461" s="150"/>
      <c r="AU461" s="150"/>
      <c r="AV461" s="150"/>
      <c r="AW461" s="150"/>
      <c r="AX461" s="150"/>
      <c r="AY461" s="150"/>
      <c r="AZ461" s="150"/>
      <c r="BA461" s="150"/>
      <c r="BB461" s="150"/>
      <c r="BC461" s="170"/>
      <c r="BD461" s="170"/>
      <c r="BE461" s="170"/>
      <c r="BF461" s="170"/>
      <c r="BG461" s="170"/>
      <c r="BH461" s="170"/>
      <c r="BI461" s="170"/>
      <c r="BJ461" s="170"/>
      <c r="BK461" s="167">
        <f t="shared" si="305"/>
        <v>0</v>
      </c>
      <c r="BL461" s="167">
        <f t="shared" si="306"/>
        <v>0</v>
      </c>
      <c r="BM461" s="167">
        <f t="shared" si="307"/>
        <v>0</v>
      </c>
      <c r="BN461" s="167">
        <f t="shared" si="308"/>
        <v>0</v>
      </c>
    </row>
    <row r="462" spans="1:66" s="171" customFormat="1" ht="15.75" hidden="1" customHeight="1" outlineLevel="3" x14ac:dyDescent="0.3">
      <c r="A462" s="169"/>
      <c r="B462" s="169"/>
      <c r="C462" s="169"/>
      <c r="D462" s="169"/>
      <c r="E462" s="169" t="s">
        <v>2706</v>
      </c>
      <c r="F462" s="169" t="s">
        <v>3208</v>
      </c>
      <c r="G462" s="169">
        <v>122</v>
      </c>
      <c r="H462" s="169" t="s">
        <v>328</v>
      </c>
      <c r="I462" s="165">
        <f t="shared" si="302"/>
        <v>0</v>
      </c>
      <c r="J462" s="165">
        <f t="shared" si="309"/>
        <v>0</v>
      </c>
      <c r="K462" s="150">
        <f t="shared" si="284"/>
        <v>0</v>
      </c>
      <c r="L462" s="150">
        <f t="shared" si="310"/>
        <v>0</v>
      </c>
      <c r="M462" s="166"/>
      <c r="N462" s="150"/>
      <c r="O462" s="150"/>
      <c r="P462" s="150"/>
      <c r="Q462" s="150"/>
      <c r="R462" s="150"/>
      <c r="S462" s="150"/>
      <c r="T462" s="150"/>
      <c r="U462" s="150"/>
      <c r="V462" s="150"/>
      <c r="W462" s="150"/>
      <c r="X462" s="150"/>
      <c r="Y462" s="150"/>
      <c r="Z462" s="150"/>
      <c r="AA462" s="150"/>
      <c r="AB462" s="150"/>
      <c r="AC462" s="165"/>
      <c r="AD462" s="165"/>
      <c r="AE462" s="165"/>
      <c r="AF462" s="165"/>
      <c r="AG462" s="165"/>
      <c r="AH462" s="165"/>
      <c r="AI462" s="150"/>
      <c r="AJ462" s="150"/>
      <c r="AK462" s="150"/>
      <c r="AL462" s="150"/>
      <c r="AM462" s="150"/>
      <c r="AN462" s="150"/>
      <c r="AO462" s="150"/>
      <c r="AP462" s="150"/>
      <c r="AQ462" s="150"/>
      <c r="AR462" s="150"/>
      <c r="AS462" s="150"/>
      <c r="AT462" s="150"/>
      <c r="AU462" s="150"/>
      <c r="AV462" s="150"/>
      <c r="AW462" s="150"/>
      <c r="AX462" s="150"/>
      <c r="AY462" s="150"/>
      <c r="AZ462" s="150"/>
      <c r="BA462" s="150"/>
      <c r="BB462" s="150"/>
      <c r="BC462" s="170"/>
      <c r="BD462" s="170"/>
      <c r="BE462" s="170"/>
      <c r="BF462" s="170"/>
      <c r="BG462" s="170"/>
      <c r="BH462" s="170"/>
      <c r="BI462" s="170"/>
      <c r="BJ462" s="170"/>
      <c r="BK462" s="167">
        <f t="shared" si="305"/>
        <v>0</v>
      </c>
      <c r="BL462" s="167">
        <f t="shared" si="306"/>
        <v>0</v>
      </c>
      <c r="BM462" s="167">
        <f t="shared" si="307"/>
        <v>0</v>
      </c>
      <c r="BN462" s="167">
        <f t="shared" si="308"/>
        <v>0</v>
      </c>
    </row>
    <row r="463" spans="1:66" s="171" customFormat="1" ht="15.75" hidden="1" customHeight="1" outlineLevel="3" x14ac:dyDescent="0.3">
      <c r="A463" s="169"/>
      <c r="B463" s="169"/>
      <c r="C463" s="169"/>
      <c r="D463" s="169"/>
      <c r="E463" s="169" t="s">
        <v>2706</v>
      </c>
      <c r="F463" s="169" t="s">
        <v>3208</v>
      </c>
      <c r="G463" s="169">
        <v>123</v>
      </c>
      <c r="H463" s="169" t="s">
        <v>330</v>
      </c>
      <c r="I463" s="165">
        <f t="shared" si="302"/>
        <v>0</v>
      </c>
      <c r="J463" s="165">
        <f t="shared" si="309"/>
        <v>0</v>
      </c>
      <c r="K463" s="150">
        <f t="shared" si="284"/>
        <v>0</v>
      </c>
      <c r="L463" s="150">
        <f t="shared" si="310"/>
        <v>0</v>
      </c>
      <c r="M463" s="166"/>
      <c r="N463" s="150"/>
      <c r="O463" s="150"/>
      <c r="P463" s="150"/>
      <c r="Q463" s="150"/>
      <c r="R463" s="150"/>
      <c r="S463" s="150"/>
      <c r="T463" s="150"/>
      <c r="U463" s="150"/>
      <c r="V463" s="150"/>
      <c r="W463" s="150"/>
      <c r="X463" s="150"/>
      <c r="Y463" s="150"/>
      <c r="Z463" s="150"/>
      <c r="AA463" s="150"/>
      <c r="AB463" s="150"/>
      <c r="AC463" s="165"/>
      <c r="AD463" s="165"/>
      <c r="AE463" s="165"/>
      <c r="AF463" s="165"/>
      <c r="AG463" s="165"/>
      <c r="AH463" s="165"/>
      <c r="AI463" s="150"/>
      <c r="AJ463" s="150"/>
      <c r="AK463" s="150"/>
      <c r="AL463" s="150"/>
      <c r="AM463" s="150"/>
      <c r="AN463" s="150"/>
      <c r="AO463" s="150"/>
      <c r="AP463" s="150"/>
      <c r="AQ463" s="150"/>
      <c r="AR463" s="150"/>
      <c r="AS463" s="150"/>
      <c r="AT463" s="150"/>
      <c r="AU463" s="150"/>
      <c r="AV463" s="150"/>
      <c r="AW463" s="150"/>
      <c r="AX463" s="150"/>
      <c r="AY463" s="150"/>
      <c r="AZ463" s="150"/>
      <c r="BA463" s="150"/>
      <c r="BB463" s="150"/>
      <c r="BC463" s="170"/>
      <c r="BD463" s="170"/>
      <c r="BE463" s="170"/>
      <c r="BF463" s="170"/>
      <c r="BG463" s="170"/>
      <c r="BH463" s="170"/>
      <c r="BI463" s="170"/>
      <c r="BJ463" s="170"/>
      <c r="BK463" s="167">
        <f t="shared" si="305"/>
        <v>0</v>
      </c>
      <c r="BL463" s="167">
        <f t="shared" si="306"/>
        <v>0</v>
      </c>
      <c r="BM463" s="167">
        <f t="shared" si="307"/>
        <v>0</v>
      </c>
      <c r="BN463" s="167">
        <f t="shared" si="308"/>
        <v>0</v>
      </c>
    </row>
    <row r="464" spans="1:66" s="171" customFormat="1" ht="15.75" hidden="1" customHeight="1" outlineLevel="3" x14ac:dyDescent="0.3">
      <c r="A464" s="169"/>
      <c r="B464" s="169"/>
      <c r="C464" s="169"/>
      <c r="D464" s="169"/>
      <c r="E464" s="169" t="s">
        <v>2706</v>
      </c>
      <c r="F464" s="169" t="s">
        <v>3208</v>
      </c>
      <c r="G464" s="169">
        <v>124</v>
      </c>
      <c r="H464" s="169" t="s">
        <v>331</v>
      </c>
      <c r="I464" s="165">
        <f t="shared" si="302"/>
        <v>0</v>
      </c>
      <c r="J464" s="165">
        <f t="shared" si="309"/>
        <v>0</v>
      </c>
      <c r="K464" s="150">
        <f t="shared" si="284"/>
        <v>0</v>
      </c>
      <c r="L464" s="150">
        <f t="shared" si="310"/>
        <v>0</v>
      </c>
      <c r="M464" s="166"/>
      <c r="N464" s="150"/>
      <c r="O464" s="150"/>
      <c r="P464" s="150"/>
      <c r="Q464" s="150"/>
      <c r="R464" s="150"/>
      <c r="S464" s="150"/>
      <c r="T464" s="150"/>
      <c r="U464" s="150"/>
      <c r="V464" s="150"/>
      <c r="W464" s="150"/>
      <c r="X464" s="150"/>
      <c r="Y464" s="150"/>
      <c r="Z464" s="150"/>
      <c r="AA464" s="150"/>
      <c r="AB464" s="150"/>
      <c r="AC464" s="165"/>
      <c r="AD464" s="165"/>
      <c r="AE464" s="165"/>
      <c r="AF464" s="165"/>
      <c r="AG464" s="165"/>
      <c r="AH464" s="165"/>
      <c r="AI464" s="150"/>
      <c r="AJ464" s="150"/>
      <c r="AK464" s="150"/>
      <c r="AL464" s="150"/>
      <c r="AM464" s="150"/>
      <c r="AN464" s="150"/>
      <c r="AO464" s="150"/>
      <c r="AP464" s="150"/>
      <c r="AQ464" s="150"/>
      <c r="AR464" s="150"/>
      <c r="AS464" s="150"/>
      <c r="AT464" s="150"/>
      <c r="AU464" s="150"/>
      <c r="AV464" s="150"/>
      <c r="AW464" s="150"/>
      <c r="AX464" s="150"/>
      <c r="AY464" s="150"/>
      <c r="AZ464" s="150"/>
      <c r="BA464" s="150"/>
      <c r="BB464" s="150"/>
      <c r="BC464" s="170"/>
      <c r="BD464" s="170"/>
      <c r="BE464" s="170"/>
      <c r="BF464" s="170"/>
      <c r="BG464" s="170"/>
      <c r="BH464" s="170"/>
      <c r="BI464" s="170"/>
      <c r="BJ464" s="170"/>
      <c r="BK464" s="167">
        <f t="shared" si="305"/>
        <v>0</v>
      </c>
      <c r="BL464" s="167">
        <f t="shared" si="306"/>
        <v>0</v>
      </c>
      <c r="BM464" s="167">
        <f t="shared" si="307"/>
        <v>0</v>
      </c>
      <c r="BN464" s="167">
        <f t="shared" si="308"/>
        <v>0</v>
      </c>
    </row>
    <row r="465" spans="1:66" s="171" customFormat="1" ht="15.75" hidden="1" customHeight="1" outlineLevel="3" x14ac:dyDescent="0.3">
      <c r="A465" s="169"/>
      <c r="B465" s="169"/>
      <c r="C465" s="169"/>
      <c r="D465" s="169"/>
      <c r="E465" s="169" t="s">
        <v>2706</v>
      </c>
      <c r="F465" s="169" t="s">
        <v>3208</v>
      </c>
      <c r="G465" s="169">
        <v>125</v>
      </c>
      <c r="H465" s="169" t="s">
        <v>332</v>
      </c>
      <c r="I465" s="165">
        <f t="shared" si="302"/>
        <v>0</v>
      </c>
      <c r="J465" s="165">
        <f t="shared" si="309"/>
        <v>0</v>
      </c>
      <c r="K465" s="150">
        <f t="shared" si="284"/>
        <v>0</v>
      </c>
      <c r="L465" s="150">
        <f t="shared" si="310"/>
        <v>0</v>
      </c>
      <c r="M465" s="166"/>
      <c r="N465" s="150"/>
      <c r="O465" s="150"/>
      <c r="P465" s="150"/>
      <c r="Q465" s="150"/>
      <c r="R465" s="150"/>
      <c r="S465" s="150"/>
      <c r="T465" s="150"/>
      <c r="U465" s="150"/>
      <c r="V465" s="150"/>
      <c r="W465" s="150"/>
      <c r="X465" s="150"/>
      <c r="Y465" s="150"/>
      <c r="Z465" s="150"/>
      <c r="AA465" s="150"/>
      <c r="AB465" s="150"/>
      <c r="AC465" s="165"/>
      <c r="AD465" s="165"/>
      <c r="AE465" s="165"/>
      <c r="AF465" s="165"/>
      <c r="AG465" s="165"/>
      <c r="AH465" s="165"/>
      <c r="AI465" s="150"/>
      <c r="AJ465" s="150"/>
      <c r="AK465" s="150"/>
      <c r="AL465" s="150"/>
      <c r="AM465" s="150"/>
      <c r="AN465" s="150"/>
      <c r="AO465" s="150"/>
      <c r="AP465" s="150"/>
      <c r="AQ465" s="150"/>
      <c r="AR465" s="150"/>
      <c r="AS465" s="150"/>
      <c r="AT465" s="150"/>
      <c r="AU465" s="150"/>
      <c r="AV465" s="150"/>
      <c r="AW465" s="150"/>
      <c r="AX465" s="150"/>
      <c r="AY465" s="150"/>
      <c r="AZ465" s="150"/>
      <c r="BA465" s="150"/>
      <c r="BB465" s="150"/>
      <c r="BC465" s="170"/>
      <c r="BD465" s="170"/>
      <c r="BE465" s="170"/>
      <c r="BF465" s="170"/>
      <c r="BG465" s="170"/>
      <c r="BH465" s="170"/>
      <c r="BI465" s="170"/>
      <c r="BJ465" s="170"/>
      <c r="BK465" s="167">
        <f t="shared" si="305"/>
        <v>0</v>
      </c>
      <c r="BL465" s="167">
        <f t="shared" si="306"/>
        <v>0</v>
      </c>
      <c r="BM465" s="167">
        <f t="shared" si="307"/>
        <v>0</v>
      </c>
      <c r="BN465" s="167">
        <f t="shared" si="308"/>
        <v>0</v>
      </c>
    </row>
    <row r="466" spans="1:66" s="171" customFormat="1" ht="15.75" hidden="1" customHeight="1" outlineLevel="3" x14ac:dyDescent="0.3">
      <c r="A466" s="169"/>
      <c r="B466" s="169"/>
      <c r="C466" s="169"/>
      <c r="D466" s="169"/>
      <c r="E466" s="169" t="s">
        <v>2706</v>
      </c>
      <c r="F466" s="169" t="s">
        <v>3208</v>
      </c>
      <c r="G466" s="169">
        <v>126</v>
      </c>
      <c r="H466" s="169" t="s">
        <v>333</v>
      </c>
      <c r="I466" s="165">
        <f t="shared" si="302"/>
        <v>0</v>
      </c>
      <c r="J466" s="165">
        <f t="shared" si="309"/>
        <v>0</v>
      </c>
      <c r="K466" s="150">
        <f t="shared" si="284"/>
        <v>0</v>
      </c>
      <c r="L466" s="150">
        <f t="shared" si="310"/>
        <v>0</v>
      </c>
      <c r="M466" s="166"/>
      <c r="N466" s="150"/>
      <c r="O466" s="150"/>
      <c r="P466" s="150"/>
      <c r="Q466" s="150"/>
      <c r="R466" s="150"/>
      <c r="S466" s="150"/>
      <c r="T466" s="150"/>
      <c r="U466" s="150"/>
      <c r="V466" s="150"/>
      <c r="W466" s="150"/>
      <c r="X466" s="150"/>
      <c r="Y466" s="150"/>
      <c r="Z466" s="150"/>
      <c r="AA466" s="150"/>
      <c r="AB466" s="150"/>
      <c r="AC466" s="165"/>
      <c r="AD466" s="165"/>
      <c r="AE466" s="165"/>
      <c r="AF466" s="165"/>
      <c r="AG466" s="165"/>
      <c r="AH466" s="165"/>
      <c r="AI466" s="150"/>
      <c r="AJ466" s="150"/>
      <c r="AK466" s="150"/>
      <c r="AL466" s="150"/>
      <c r="AM466" s="150"/>
      <c r="AN466" s="150"/>
      <c r="AO466" s="150"/>
      <c r="AP466" s="150"/>
      <c r="AQ466" s="150"/>
      <c r="AR466" s="150"/>
      <c r="AS466" s="150"/>
      <c r="AT466" s="150"/>
      <c r="AU466" s="150"/>
      <c r="AV466" s="150"/>
      <c r="AW466" s="150"/>
      <c r="AX466" s="150"/>
      <c r="AY466" s="150"/>
      <c r="AZ466" s="150"/>
      <c r="BA466" s="150"/>
      <c r="BB466" s="150"/>
      <c r="BC466" s="170"/>
      <c r="BD466" s="170"/>
      <c r="BE466" s="170"/>
      <c r="BF466" s="170"/>
      <c r="BG466" s="170"/>
      <c r="BH466" s="170"/>
      <c r="BI466" s="170"/>
      <c r="BJ466" s="170"/>
      <c r="BK466" s="167">
        <f t="shared" si="305"/>
        <v>0</v>
      </c>
      <c r="BL466" s="167">
        <f t="shared" si="306"/>
        <v>0</v>
      </c>
      <c r="BM466" s="167">
        <f t="shared" si="307"/>
        <v>0</v>
      </c>
      <c r="BN466" s="167">
        <f t="shared" si="308"/>
        <v>0</v>
      </c>
    </row>
    <row r="467" spans="1:66" s="171" customFormat="1" ht="15.75" hidden="1" customHeight="1" outlineLevel="3" x14ac:dyDescent="0.3">
      <c r="A467" s="169"/>
      <c r="B467" s="169"/>
      <c r="C467" s="169"/>
      <c r="D467" s="169"/>
      <c r="E467" s="169" t="s">
        <v>2706</v>
      </c>
      <c r="F467" s="169" t="s">
        <v>3208</v>
      </c>
      <c r="G467" s="169">
        <v>127</v>
      </c>
      <c r="H467" s="169" t="s">
        <v>334</v>
      </c>
      <c r="I467" s="165">
        <f t="shared" si="302"/>
        <v>0</v>
      </c>
      <c r="J467" s="165">
        <f t="shared" si="309"/>
        <v>0</v>
      </c>
      <c r="K467" s="150">
        <f t="shared" si="284"/>
        <v>0</v>
      </c>
      <c r="L467" s="150">
        <f t="shared" si="310"/>
        <v>0</v>
      </c>
      <c r="M467" s="166"/>
      <c r="N467" s="150"/>
      <c r="O467" s="150"/>
      <c r="P467" s="150"/>
      <c r="Q467" s="150"/>
      <c r="R467" s="150"/>
      <c r="S467" s="150"/>
      <c r="T467" s="150"/>
      <c r="U467" s="150"/>
      <c r="V467" s="150"/>
      <c r="W467" s="150"/>
      <c r="X467" s="150"/>
      <c r="Y467" s="150"/>
      <c r="Z467" s="150"/>
      <c r="AA467" s="150"/>
      <c r="AB467" s="150"/>
      <c r="AC467" s="165"/>
      <c r="AD467" s="165"/>
      <c r="AE467" s="165"/>
      <c r="AF467" s="165"/>
      <c r="AG467" s="165"/>
      <c r="AH467" s="165"/>
      <c r="AI467" s="150"/>
      <c r="AJ467" s="150"/>
      <c r="AK467" s="150"/>
      <c r="AL467" s="150"/>
      <c r="AM467" s="150"/>
      <c r="AN467" s="150"/>
      <c r="AO467" s="150"/>
      <c r="AP467" s="150"/>
      <c r="AQ467" s="150"/>
      <c r="AR467" s="150"/>
      <c r="AS467" s="150"/>
      <c r="AT467" s="150"/>
      <c r="AU467" s="150"/>
      <c r="AV467" s="150"/>
      <c r="AW467" s="150"/>
      <c r="AX467" s="150"/>
      <c r="AY467" s="150"/>
      <c r="AZ467" s="150"/>
      <c r="BA467" s="150"/>
      <c r="BB467" s="150"/>
      <c r="BC467" s="170"/>
      <c r="BD467" s="170"/>
      <c r="BE467" s="170"/>
      <c r="BF467" s="170"/>
      <c r="BG467" s="170"/>
      <c r="BH467" s="170"/>
      <c r="BI467" s="170"/>
      <c r="BJ467" s="170"/>
      <c r="BK467" s="167">
        <f t="shared" si="305"/>
        <v>0</v>
      </c>
      <c r="BL467" s="167">
        <f t="shared" si="306"/>
        <v>0</v>
      </c>
      <c r="BM467" s="167">
        <f t="shared" si="307"/>
        <v>0</v>
      </c>
      <c r="BN467" s="167">
        <f t="shared" si="308"/>
        <v>0</v>
      </c>
    </row>
    <row r="468" spans="1:66" s="171" customFormat="1" ht="15.75" hidden="1" customHeight="1" outlineLevel="3" x14ac:dyDescent="0.3">
      <c r="A468" s="169"/>
      <c r="B468" s="169"/>
      <c r="C468" s="169"/>
      <c r="D468" s="169"/>
      <c r="E468" s="169" t="s">
        <v>2706</v>
      </c>
      <c r="F468" s="169" t="s">
        <v>3208</v>
      </c>
      <c r="G468" s="169">
        <v>128</v>
      </c>
      <c r="H468" s="169" t="s">
        <v>335</v>
      </c>
      <c r="I468" s="165">
        <f t="shared" si="302"/>
        <v>0</v>
      </c>
      <c r="J468" s="165">
        <f t="shared" si="309"/>
        <v>0</v>
      </c>
      <c r="K468" s="150">
        <f t="shared" si="284"/>
        <v>0</v>
      </c>
      <c r="L468" s="150">
        <f t="shared" si="310"/>
        <v>0</v>
      </c>
      <c r="M468" s="166"/>
      <c r="N468" s="150"/>
      <c r="O468" s="150"/>
      <c r="P468" s="150"/>
      <c r="Q468" s="150"/>
      <c r="R468" s="150"/>
      <c r="S468" s="150"/>
      <c r="T468" s="150"/>
      <c r="U468" s="150"/>
      <c r="V468" s="150"/>
      <c r="W468" s="150"/>
      <c r="X468" s="150"/>
      <c r="Y468" s="150"/>
      <c r="Z468" s="150"/>
      <c r="AA468" s="150"/>
      <c r="AB468" s="150"/>
      <c r="AC468" s="165"/>
      <c r="AD468" s="165"/>
      <c r="AE468" s="165"/>
      <c r="AF468" s="165"/>
      <c r="AG468" s="165"/>
      <c r="AH468" s="165"/>
      <c r="AI468" s="150"/>
      <c r="AJ468" s="150"/>
      <c r="AK468" s="150"/>
      <c r="AL468" s="150"/>
      <c r="AM468" s="150"/>
      <c r="AN468" s="150"/>
      <c r="AO468" s="150"/>
      <c r="AP468" s="150"/>
      <c r="AQ468" s="150"/>
      <c r="AR468" s="150"/>
      <c r="AS468" s="150"/>
      <c r="AT468" s="150"/>
      <c r="AU468" s="150"/>
      <c r="AV468" s="150"/>
      <c r="AW468" s="150"/>
      <c r="AX468" s="150"/>
      <c r="AY468" s="150"/>
      <c r="AZ468" s="150"/>
      <c r="BA468" s="150"/>
      <c r="BB468" s="150"/>
      <c r="BC468" s="170"/>
      <c r="BD468" s="170"/>
      <c r="BE468" s="170"/>
      <c r="BF468" s="170"/>
      <c r="BG468" s="170"/>
      <c r="BH468" s="170"/>
      <c r="BI468" s="170"/>
      <c r="BJ468" s="170"/>
      <c r="BK468" s="167">
        <f t="shared" si="305"/>
        <v>0</v>
      </c>
      <c r="BL468" s="167">
        <f t="shared" si="306"/>
        <v>0</v>
      </c>
      <c r="BM468" s="167">
        <f t="shared" si="307"/>
        <v>0</v>
      </c>
      <c r="BN468" s="167">
        <f t="shared" si="308"/>
        <v>0</v>
      </c>
    </row>
    <row r="469" spans="1:66" s="171" customFormat="1" ht="15.75" hidden="1" customHeight="1" outlineLevel="3" x14ac:dyDescent="0.3">
      <c r="A469" s="169"/>
      <c r="B469" s="169"/>
      <c r="C469" s="169"/>
      <c r="D469" s="169"/>
      <c r="E469" s="169" t="s">
        <v>2706</v>
      </c>
      <c r="F469" s="169" t="s">
        <v>3208</v>
      </c>
      <c r="G469" s="169">
        <v>129</v>
      </c>
      <c r="H469" s="169" t="s">
        <v>336</v>
      </c>
      <c r="I469" s="165">
        <f t="shared" si="302"/>
        <v>0</v>
      </c>
      <c r="J469" s="165">
        <f t="shared" si="309"/>
        <v>0</v>
      </c>
      <c r="K469" s="150">
        <f t="shared" si="284"/>
        <v>0</v>
      </c>
      <c r="L469" s="150">
        <f t="shared" si="310"/>
        <v>0</v>
      </c>
      <c r="M469" s="166"/>
      <c r="N469" s="150"/>
      <c r="O469" s="150"/>
      <c r="P469" s="150"/>
      <c r="Q469" s="150"/>
      <c r="R469" s="150"/>
      <c r="S469" s="150"/>
      <c r="T469" s="150"/>
      <c r="U469" s="150"/>
      <c r="V469" s="150"/>
      <c r="W469" s="150"/>
      <c r="X469" s="150"/>
      <c r="Y469" s="150"/>
      <c r="Z469" s="150"/>
      <c r="AA469" s="150"/>
      <c r="AB469" s="150"/>
      <c r="AC469" s="165"/>
      <c r="AD469" s="165"/>
      <c r="AE469" s="165"/>
      <c r="AF469" s="165"/>
      <c r="AG469" s="165"/>
      <c r="AH469" s="165"/>
      <c r="AI469" s="150"/>
      <c r="AJ469" s="150"/>
      <c r="AK469" s="150"/>
      <c r="AL469" s="150"/>
      <c r="AM469" s="150"/>
      <c r="AN469" s="150"/>
      <c r="AO469" s="150"/>
      <c r="AP469" s="150"/>
      <c r="AQ469" s="150"/>
      <c r="AR469" s="150"/>
      <c r="AS469" s="150"/>
      <c r="AT469" s="150"/>
      <c r="AU469" s="150"/>
      <c r="AV469" s="150"/>
      <c r="AW469" s="150"/>
      <c r="AX469" s="150"/>
      <c r="AY469" s="150"/>
      <c r="AZ469" s="150"/>
      <c r="BA469" s="150"/>
      <c r="BB469" s="150"/>
      <c r="BC469" s="170"/>
      <c r="BD469" s="170"/>
      <c r="BE469" s="170"/>
      <c r="BF469" s="170"/>
      <c r="BG469" s="170"/>
      <c r="BH469" s="170"/>
      <c r="BI469" s="170"/>
      <c r="BJ469" s="170"/>
      <c r="BK469" s="167">
        <f t="shared" si="305"/>
        <v>0</v>
      </c>
      <c r="BL469" s="167">
        <f t="shared" si="306"/>
        <v>0</v>
      </c>
      <c r="BM469" s="167">
        <f t="shared" si="307"/>
        <v>0</v>
      </c>
      <c r="BN469" s="167">
        <f t="shared" si="308"/>
        <v>0</v>
      </c>
    </row>
    <row r="470" spans="1:66" s="171" customFormat="1" ht="15.75" hidden="1" customHeight="1" outlineLevel="3" x14ac:dyDescent="0.3">
      <c r="A470" s="169"/>
      <c r="B470" s="169"/>
      <c r="C470" s="169"/>
      <c r="D470" s="169"/>
      <c r="E470" s="169" t="s">
        <v>2706</v>
      </c>
      <c r="F470" s="169" t="s">
        <v>3208</v>
      </c>
      <c r="G470" s="169">
        <v>130</v>
      </c>
      <c r="H470" s="169" t="s">
        <v>337</v>
      </c>
      <c r="I470" s="165">
        <f t="shared" si="302"/>
        <v>0</v>
      </c>
      <c r="J470" s="165">
        <f t="shared" si="309"/>
        <v>0</v>
      </c>
      <c r="K470" s="150">
        <f t="shared" si="284"/>
        <v>0</v>
      </c>
      <c r="L470" s="150">
        <f t="shared" si="310"/>
        <v>0</v>
      </c>
      <c r="M470" s="166"/>
      <c r="N470" s="150"/>
      <c r="O470" s="150"/>
      <c r="P470" s="150"/>
      <c r="Q470" s="150"/>
      <c r="R470" s="150"/>
      <c r="S470" s="150"/>
      <c r="T470" s="150"/>
      <c r="U470" s="150"/>
      <c r="V470" s="150"/>
      <c r="W470" s="150"/>
      <c r="X470" s="150"/>
      <c r="Y470" s="150"/>
      <c r="Z470" s="150"/>
      <c r="AA470" s="150"/>
      <c r="AB470" s="150"/>
      <c r="AC470" s="165"/>
      <c r="AD470" s="165"/>
      <c r="AE470" s="165"/>
      <c r="AF470" s="165"/>
      <c r="AG470" s="165"/>
      <c r="AH470" s="165"/>
      <c r="AI470" s="150"/>
      <c r="AJ470" s="150"/>
      <c r="AK470" s="150"/>
      <c r="AL470" s="150"/>
      <c r="AM470" s="150"/>
      <c r="AN470" s="150"/>
      <c r="AO470" s="150"/>
      <c r="AP470" s="150"/>
      <c r="AQ470" s="150"/>
      <c r="AR470" s="150"/>
      <c r="AS470" s="150"/>
      <c r="AT470" s="150"/>
      <c r="AU470" s="150"/>
      <c r="AV470" s="150"/>
      <c r="AW470" s="150"/>
      <c r="AX470" s="150"/>
      <c r="AY470" s="150"/>
      <c r="AZ470" s="150"/>
      <c r="BA470" s="150"/>
      <c r="BB470" s="150"/>
      <c r="BC470" s="170"/>
      <c r="BD470" s="170"/>
      <c r="BE470" s="170"/>
      <c r="BF470" s="170"/>
      <c r="BG470" s="170"/>
      <c r="BH470" s="170"/>
      <c r="BI470" s="170"/>
      <c r="BJ470" s="170"/>
      <c r="BK470" s="167">
        <f t="shared" si="305"/>
        <v>0</v>
      </c>
      <c r="BL470" s="167">
        <f t="shared" si="306"/>
        <v>0</v>
      </c>
      <c r="BM470" s="167">
        <f t="shared" si="307"/>
        <v>0</v>
      </c>
      <c r="BN470" s="167">
        <f t="shared" si="308"/>
        <v>0</v>
      </c>
    </row>
    <row r="471" spans="1:66" s="171" customFormat="1" ht="15.75" hidden="1" customHeight="1" outlineLevel="3" x14ac:dyDescent="0.3">
      <c r="A471" s="169"/>
      <c r="B471" s="169"/>
      <c r="C471" s="169"/>
      <c r="D471" s="169"/>
      <c r="E471" s="169" t="s">
        <v>2706</v>
      </c>
      <c r="F471" s="169" t="s">
        <v>3208</v>
      </c>
      <c r="G471" s="169">
        <v>131</v>
      </c>
      <c r="H471" s="169" t="s">
        <v>338</v>
      </c>
      <c r="I471" s="165">
        <f t="shared" si="302"/>
        <v>0</v>
      </c>
      <c r="J471" s="165">
        <f t="shared" si="309"/>
        <v>0</v>
      </c>
      <c r="K471" s="150">
        <f t="shared" si="284"/>
        <v>0</v>
      </c>
      <c r="L471" s="150">
        <f t="shared" si="310"/>
        <v>0</v>
      </c>
      <c r="M471" s="166"/>
      <c r="N471" s="150"/>
      <c r="O471" s="150"/>
      <c r="P471" s="150"/>
      <c r="Q471" s="150"/>
      <c r="R471" s="150"/>
      <c r="S471" s="150"/>
      <c r="T471" s="150"/>
      <c r="U471" s="150"/>
      <c r="V471" s="150"/>
      <c r="W471" s="150"/>
      <c r="X471" s="150"/>
      <c r="Y471" s="150"/>
      <c r="Z471" s="150"/>
      <c r="AA471" s="150"/>
      <c r="AB471" s="150"/>
      <c r="AC471" s="165"/>
      <c r="AD471" s="165"/>
      <c r="AE471" s="165"/>
      <c r="AF471" s="165"/>
      <c r="AG471" s="165"/>
      <c r="AH471" s="165"/>
      <c r="AI471" s="150"/>
      <c r="AJ471" s="150"/>
      <c r="AK471" s="150"/>
      <c r="AL471" s="150"/>
      <c r="AM471" s="150"/>
      <c r="AN471" s="150"/>
      <c r="AO471" s="150"/>
      <c r="AP471" s="150"/>
      <c r="AQ471" s="150"/>
      <c r="AR471" s="150"/>
      <c r="AS471" s="150"/>
      <c r="AT471" s="150"/>
      <c r="AU471" s="150"/>
      <c r="AV471" s="150"/>
      <c r="AW471" s="150"/>
      <c r="AX471" s="150"/>
      <c r="AY471" s="150"/>
      <c r="AZ471" s="150"/>
      <c r="BA471" s="150"/>
      <c r="BB471" s="150"/>
      <c r="BC471" s="170"/>
      <c r="BD471" s="170"/>
      <c r="BE471" s="170"/>
      <c r="BF471" s="170"/>
      <c r="BG471" s="170"/>
      <c r="BH471" s="170"/>
      <c r="BI471" s="170"/>
      <c r="BJ471" s="170"/>
      <c r="BK471" s="167">
        <f t="shared" si="305"/>
        <v>0</v>
      </c>
      <c r="BL471" s="167">
        <f t="shared" si="306"/>
        <v>0</v>
      </c>
      <c r="BM471" s="167">
        <f t="shared" si="307"/>
        <v>0</v>
      </c>
      <c r="BN471" s="167">
        <f t="shared" si="308"/>
        <v>0</v>
      </c>
    </row>
    <row r="472" spans="1:66" s="171" customFormat="1" ht="15.75" hidden="1" customHeight="1" outlineLevel="3" x14ac:dyDescent="0.3">
      <c r="A472" s="169"/>
      <c r="B472" s="169"/>
      <c r="C472" s="169"/>
      <c r="D472" s="169"/>
      <c r="E472" s="169" t="s">
        <v>2706</v>
      </c>
      <c r="F472" s="169" t="s">
        <v>3208</v>
      </c>
      <c r="G472" s="169">
        <v>132</v>
      </c>
      <c r="H472" s="169" t="s">
        <v>339</v>
      </c>
      <c r="I472" s="165">
        <f t="shared" si="302"/>
        <v>0</v>
      </c>
      <c r="J472" s="165">
        <f t="shared" si="309"/>
        <v>0</v>
      </c>
      <c r="K472" s="150">
        <f t="shared" si="284"/>
        <v>0</v>
      </c>
      <c r="L472" s="150">
        <f t="shared" si="310"/>
        <v>0</v>
      </c>
      <c r="M472" s="166"/>
      <c r="N472" s="150"/>
      <c r="O472" s="150"/>
      <c r="P472" s="150"/>
      <c r="Q472" s="150"/>
      <c r="R472" s="150"/>
      <c r="S472" s="150"/>
      <c r="T472" s="150"/>
      <c r="U472" s="150"/>
      <c r="V472" s="150"/>
      <c r="W472" s="150"/>
      <c r="X472" s="150"/>
      <c r="Y472" s="150"/>
      <c r="Z472" s="150"/>
      <c r="AA472" s="150"/>
      <c r="AB472" s="150"/>
      <c r="AC472" s="165"/>
      <c r="AD472" s="165"/>
      <c r="AE472" s="165"/>
      <c r="AF472" s="165"/>
      <c r="AG472" s="165"/>
      <c r="AH472" s="165"/>
      <c r="AI472" s="150"/>
      <c r="AJ472" s="150"/>
      <c r="AK472" s="150"/>
      <c r="AL472" s="150"/>
      <c r="AM472" s="150"/>
      <c r="AN472" s="150"/>
      <c r="AO472" s="150"/>
      <c r="AP472" s="150"/>
      <c r="AQ472" s="150"/>
      <c r="AR472" s="150"/>
      <c r="AS472" s="150"/>
      <c r="AT472" s="150"/>
      <c r="AU472" s="150"/>
      <c r="AV472" s="150"/>
      <c r="AW472" s="150"/>
      <c r="AX472" s="150"/>
      <c r="AY472" s="150"/>
      <c r="AZ472" s="150"/>
      <c r="BA472" s="150"/>
      <c r="BB472" s="150"/>
      <c r="BC472" s="170"/>
      <c r="BD472" s="170"/>
      <c r="BE472" s="170"/>
      <c r="BF472" s="170"/>
      <c r="BG472" s="170"/>
      <c r="BH472" s="170"/>
      <c r="BI472" s="170"/>
      <c r="BJ472" s="170"/>
      <c r="BK472" s="167">
        <f t="shared" si="305"/>
        <v>0</v>
      </c>
      <c r="BL472" s="167">
        <f t="shared" si="306"/>
        <v>0</v>
      </c>
      <c r="BM472" s="167">
        <f t="shared" si="307"/>
        <v>0</v>
      </c>
      <c r="BN472" s="167">
        <f t="shared" si="308"/>
        <v>0</v>
      </c>
    </row>
    <row r="473" spans="1:66" s="171" customFormat="1" ht="15.75" hidden="1" customHeight="1" outlineLevel="3" x14ac:dyDescent="0.3">
      <c r="A473" s="169"/>
      <c r="B473" s="169"/>
      <c r="C473" s="169"/>
      <c r="D473" s="169"/>
      <c r="E473" s="169" t="s">
        <v>2706</v>
      </c>
      <c r="F473" s="169" t="s">
        <v>3208</v>
      </c>
      <c r="G473" s="169">
        <v>133</v>
      </c>
      <c r="H473" s="169" t="s">
        <v>340</v>
      </c>
      <c r="I473" s="165">
        <f t="shared" si="302"/>
        <v>0</v>
      </c>
      <c r="J473" s="165">
        <f t="shared" si="309"/>
        <v>0</v>
      </c>
      <c r="K473" s="150">
        <f t="shared" si="284"/>
        <v>0</v>
      </c>
      <c r="L473" s="150">
        <f t="shared" si="310"/>
        <v>0</v>
      </c>
      <c r="M473" s="166"/>
      <c r="N473" s="150"/>
      <c r="O473" s="150"/>
      <c r="P473" s="150"/>
      <c r="Q473" s="150"/>
      <c r="R473" s="150"/>
      <c r="S473" s="150"/>
      <c r="T473" s="150"/>
      <c r="U473" s="150"/>
      <c r="V473" s="150"/>
      <c r="W473" s="150"/>
      <c r="X473" s="150"/>
      <c r="Y473" s="150"/>
      <c r="Z473" s="150"/>
      <c r="AA473" s="150"/>
      <c r="AB473" s="150"/>
      <c r="AC473" s="165"/>
      <c r="AD473" s="165"/>
      <c r="AE473" s="165"/>
      <c r="AF473" s="165"/>
      <c r="AG473" s="165"/>
      <c r="AH473" s="165"/>
      <c r="AI473" s="150"/>
      <c r="AJ473" s="150"/>
      <c r="AK473" s="150"/>
      <c r="AL473" s="150"/>
      <c r="AM473" s="150"/>
      <c r="AN473" s="150"/>
      <c r="AO473" s="150"/>
      <c r="AP473" s="150"/>
      <c r="AQ473" s="150"/>
      <c r="AR473" s="150"/>
      <c r="AS473" s="150"/>
      <c r="AT473" s="150"/>
      <c r="AU473" s="150"/>
      <c r="AV473" s="150"/>
      <c r="AW473" s="150"/>
      <c r="AX473" s="150"/>
      <c r="AY473" s="150"/>
      <c r="AZ473" s="150"/>
      <c r="BA473" s="150"/>
      <c r="BB473" s="150"/>
      <c r="BC473" s="170"/>
      <c r="BD473" s="170"/>
      <c r="BE473" s="170"/>
      <c r="BF473" s="170"/>
      <c r="BG473" s="170"/>
      <c r="BH473" s="170"/>
      <c r="BI473" s="170"/>
      <c r="BJ473" s="170"/>
      <c r="BK473" s="167">
        <f t="shared" si="305"/>
        <v>0</v>
      </c>
      <c r="BL473" s="167">
        <f t="shared" si="306"/>
        <v>0</v>
      </c>
      <c r="BM473" s="167">
        <f t="shared" si="307"/>
        <v>0</v>
      </c>
      <c r="BN473" s="167">
        <f t="shared" si="308"/>
        <v>0</v>
      </c>
    </row>
    <row r="474" spans="1:66" s="171" customFormat="1" ht="15.75" hidden="1" customHeight="1" outlineLevel="3" x14ac:dyDescent="0.3">
      <c r="A474" s="169"/>
      <c r="B474" s="169"/>
      <c r="C474" s="169"/>
      <c r="D474" s="169"/>
      <c r="E474" s="169" t="s">
        <v>2706</v>
      </c>
      <c r="F474" s="169" t="s">
        <v>3208</v>
      </c>
      <c r="G474" s="169">
        <v>134</v>
      </c>
      <c r="H474" s="169" t="s">
        <v>341</v>
      </c>
      <c r="I474" s="165">
        <f t="shared" si="302"/>
        <v>0</v>
      </c>
      <c r="J474" s="165">
        <f t="shared" si="309"/>
        <v>0</v>
      </c>
      <c r="K474" s="150">
        <f t="shared" si="284"/>
        <v>0</v>
      </c>
      <c r="L474" s="150">
        <f t="shared" si="310"/>
        <v>0</v>
      </c>
      <c r="M474" s="166"/>
      <c r="N474" s="150"/>
      <c r="O474" s="150"/>
      <c r="P474" s="150"/>
      <c r="Q474" s="150"/>
      <c r="R474" s="150"/>
      <c r="S474" s="150"/>
      <c r="T474" s="150"/>
      <c r="U474" s="150"/>
      <c r="V474" s="150"/>
      <c r="W474" s="150"/>
      <c r="X474" s="150"/>
      <c r="Y474" s="150"/>
      <c r="Z474" s="150"/>
      <c r="AA474" s="150"/>
      <c r="AB474" s="150"/>
      <c r="AC474" s="165"/>
      <c r="AD474" s="165"/>
      <c r="AE474" s="165"/>
      <c r="AF474" s="165"/>
      <c r="AG474" s="165"/>
      <c r="AH474" s="165"/>
      <c r="AI474" s="150"/>
      <c r="AJ474" s="150"/>
      <c r="AK474" s="150"/>
      <c r="AL474" s="150"/>
      <c r="AM474" s="150"/>
      <c r="AN474" s="150"/>
      <c r="AO474" s="150"/>
      <c r="AP474" s="150"/>
      <c r="AQ474" s="150"/>
      <c r="AR474" s="150"/>
      <c r="AS474" s="150"/>
      <c r="AT474" s="150"/>
      <c r="AU474" s="150"/>
      <c r="AV474" s="150"/>
      <c r="AW474" s="150"/>
      <c r="AX474" s="150"/>
      <c r="AY474" s="150"/>
      <c r="AZ474" s="150"/>
      <c r="BA474" s="150"/>
      <c r="BB474" s="150"/>
      <c r="BC474" s="170"/>
      <c r="BD474" s="170"/>
      <c r="BE474" s="170"/>
      <c r="BF474" s="170"/>
      <c r="BG474" s="170"/>
      <c r="BH474" s="170"/>
      <c r="BI474" s="170"/>
      <c r="BJ474" s="170"/>
      <c r="BK474" s="167">
        <f t="shared" si="305"/>
        <v>0</v>
      </c>
      <c r="BL474" s="167">
        <f t="shared" si="306"/>
        <v>0</v>
      </c>
      <c r="BM474" s="167">
        <f t="shared" si="307"/>
        <v>0</v>
      </c>
      <c r="BN474" s="167">
        <f t="shared" si="308"/>
        <v>0</v>
      </c>
    </row>
    <row r="475" spans="1:66" s="171" customFormat="1" ht="15.75" hidden="1" customHeight="1" outlineLevel="3" x14ac:dyDescent="0.3">
      <c r="A475" s="169"/>
      <c r="B475" s="169"/>
      <c r="C475" s="169"/>
      <c r="D475" s="169"/>
      <c r="E475" s="169" t="s">
        <v>2706</v>
      </c>
      <c r="F475" s="169" t="s">
        <v>3208</v>
      </c>
      <c r="G475" s="169">
        <v>137</v>
      </c>
      <c r="H475" s="169" t="s">
        <v>347</v>
      </c>
      <c r="I475" s="165">
        <f t="shared" si="302"/>
        <v>0</v>
      </c>
      <c r="J475" s="165">
        <f t="shared" si="309"/>
        <v>0</v>
      </c>
      <c r="K475" s="150">
        <f t="shared" si="284"/>
        <v>0</v>
      </c>
      <c r="L475" s="150">
        <f t="shared" si="310"/>
        <v>0</v>
      </c>
      <c r="M475" s="166"/>
      <c r="N475" s="150"/>
      <c r="O475" s="150"/>
      <c r="P475" s="150"/>
      <c r="Q475" s="150"/>
      <c r="R475" s="150"/>
      <c r="S475" s="150"/>
      <c r="T475" s="150"/>
      <c r="U475" s="150"/>
      <c r="V475" s="150"/>
      <c r="W475" s="150"/>
      <c r="X475" s="150"/>
      <c r="Y475" s="150"/>
      <c r="Z475" s="150"/>
      <c r="AA475" s="150"/>
      <c r="AB475" s="150"/>
      <c r="AC475" s="165"/>
      <c r="AD475" s="165"/>
      <c r="AE475" s="165"/>
      <c r="AF475" s="165"/>
      <c r="AG475" s="165"/>
      <c r="AH475" s="165"/>
      <c r="AI475" s="150"/>
      <c r="AJ475" s="150"/>
      <c r="AK475" s="150"/>
      <c r="AL475" s="150"/>
      <c r="AM475" s="150"/>
      <c r="AN475" s="150"/>
      <c r="AO475" s="150"/>
      <c r="AP475" s="150"/>
      <c r="AQ475" s="150"/>
      <c r="AR475" s="150"/>
      <c r="AS475" s="150"/>
      <c r="AT475" s="150"/>
      <c r="AU475" s="150"/>
      <c r="AV475" s="150"/>
      <c r="AW475" s="150"/>
      <c r="AX475" s="150"/>
      <c r="AY475" s="150"/>
      <c r="AZ475" s="150"/>
      <c r="BA475" s="150"/>
      <c r="BB475" s="150"/>
      <c r="BC475" s="170"/>
      <c r="BD475" s="170"/>
      <c r="BE475" s="170"/>
      <c r="BF475" s="170"/>
      <c r="BG475" s="170"/>
      <c r="BH475" s="170"/>
      <c r="BI475" s="170"/>
      <c r="BJ475" s="170"/>
      <c r="BK475" s="167">
        <f t="shared" si="305"/>
        <v>0</v>
      </c>
      <c r="BL475" s="167">
        <f t="shared" si="306"/>
        <v>0</v>
      </c>
      <c r="BM475" s="167">
        <f t="shared" si="307"/>
        <v>0</v>
      </c>
      <c r="BN475" s="167">
        <f t="shared" si="308"/>
        <v>0</v>
      </c>
    </row>
    <row r="476" spans="1:66" s="171" customFormat="1" ht="15.75" hidden="1" customHeight="1" outlineLevel="3" x14ac:dyDescent="0.3">
      <c r="A476" s="169"/>
      <c r="B476" s="169"/>
      <c r="C476" s="169"/>
      <c r="D476" s="169"/>
      <c r="E476" s="169" t="s">
        <v>2706</v>
      </c>
      <c r="F476" s="169" t="s">
        <v>3208</v>
      </c>
      <c r="G476" s="169">
        <v>138</v>
      </c>
      <c r="H476" s="169" t="s">
        <v>349</v>
      </c>
      <c r="I476" s="165">
        <f t="shared" si="302"/>
        <v>0</v>
      </c>
      <c r="J476" s="165">
        <f t="shared" si="309"/>
        <v>0</v>
      </c>
      <c r="K476" s="150">
        <f t="shared" si="284"/>
        <v>0</v>
      </c>
      <c r="L476" s="150">
        <f t="shared" si="310"/>
        <v>0</v>
      </c>
      <c r="M476" s="166"/>
      <c r="N476" s="150"/>
      <c r="O476" s="150"/>
      <c r="P476" s="150"/>
      <c r="Q476" s="150"/>
      <c r="R476" s="150"/>
      <c r="S476" s="150"/>
      <c r="T476" s="150"/>
      <c r="U476" s="150"/>
      <c r="V476" s="150"/>
      <c r="W476" s="150"/>
      <c r="X476" s="150"/>
      <c r="Y476" s="150"/>
      <c r="Z476" s="150"/>
      <c r="AA476" s="150"/>
      <c r="AB476" s="150"/>
      <c r="AC476" s="165"/>
      <c r="AD476" s="165"/>
      <c r="AE476" s="165"/>
      <c r="AF476" s="165"/>
      <c r="AG476" s="165"/>
      <c r="AH476" s="165"/>
      <c r="AI476" s="150"/>
      <c r="AJ476" s="150"/>
      <c r="AK476" s="150"/>
      <c r="AL476" s="150"/>
      <c r="AM476" s="150"/>
      <c r="AN476" s="150"/>
      <c r="AO476" s="150"/>
      <c r="AP476" s="150"/>
      <c r="AQ476" s="150"/>
      <c r="AR476" s="150"/>
      <c r="AS476" s="150"/>
      <c r="AT476" s="150"/>
      <c r="AU476" s="150"/>
      <c r="AV476" s="150"/>
      <c r="AW476" s="150"/>
      <c r="AX476" s="150"/>
      <c r="AY476" s="150"/>
      <c r="AZ476" s="150"/>
      <c r="BA476" s="150"/>
      <c r="BB476" s="150"/>
      <c r="BC476" s="170"/>
      <c r="BD476" s="170"/>
      <c r="BE476" s="170"/>
      <c r="BF476" s="170"/>
      <c r="BG476" s="170"/>
      <c r="BH476" s="170"/>
      <c r="BI476" s="170"/>
      <c r="BJ476" s="170"/>
      <c r="BK476" s="167">
        <f t="shared" si="305"/>
        <v>0</v>
      </c>
      <c r="BL476" s="167">
        <f t="shared" si="306"/>
        <v>0</v>
      </c>
      <c r="BM476" s="167">
        <f t="shared" si="307"/>
        <v>0</v>
      </c>
      <c r="BN476" s="167">
        <f t="shared" si="308"/>
        <v>0</v>
      </c>
    </row>
    <row r="477" spans="1:66" s="171" customFormat="1" ht="15.75" hidden="1" customHeight="1" outlineLevel="3" x14ac:dyDescent="0.3">
      <c r="A477" s="169"/>
      <c r="B477" s="169"/>
      <c r="C477" s="169"/>
      <c r="D477" s="169"/>
      <c r="E477" s="169" t="s">
        <v>2706</v>
      </c>
      <c r="F477" s="169" t="s">
        <v>3208</v>
      </c>
      <c r="G477" s="169">
        <v>139</v>
      </c>
      <c r="H477" s="169" t="s">
        <v>350</v>
      </c>
      <c r="I477" s="165">
        <f t="shared" si="302"/>
        <v>0</v>
      </c>
      <c r="J477" s="165">
        <f t="shared" si="309"/>
        <v>0</v>
      </c>
      <c r="K477" s="150">
        <f t="shared" si="284"/>
        <v>0</v>
      </c>
      <c r="L477" s="150">
        <f t="shared" si="310"/>
        <v>0</v>
      </c>
      <c r="M477" s="166"/>
      <c r="N477" s="150"/>
      <c r="O477" s="150"/>
      <c r="P477" s="150"/>
      <c r="Q477" s="150"/>
      <c r="R477" s="150"/>
      <c r="S477" s="150"/>
      <c r="T477" s="150"/>
      <c r="U477" s="150"/>
      <c r="V477" s="150"/>
      <c r="W477" s="150"/>
      <c r="X477" s="150"/>
      <c r="Y477" s="150"/>
      <c r="Z477" s="150"/>
      <c r="AA477" s="150"/>
      <c r="AB477" s="150"/>
      <c r="AC477" s="165"/>
      <c r="AD477" s="165"/>
      <c r="AE477" s="165"/>
      <c r="AF477" s="165"/>
      <c r="AG477" s="165"/>
      <c r="AH477" s="165"/>
      <c r="AI477" s="150"/>
      <c r="AJ477" s="150"/>
      <c r="AK477" s="150"/>
      <c r="AL477" s="150"/>
      <c r="AM477" s="150"/>
      <c r="AN477" s="150"/>
      <c r="AO477" s="150"/>
      <c r="AP477" s="150"/>
      <c r="AQ477" s="150"/>
      <c r="AR477" s="150"/>
      <c r="AS477" s="150"/>
      <c r="AT477" s="150"/>
      <c r="AU477" s="150"/>
      <c r="AV477" s="150"/>
      <c r="AW477" s="150"/>
      <c r="AX477" s="150"/>
      <c r="AY477" s="150"/>
      <c r="AZ477" s="150"/>
      <c r="BA477" s="150"/>
      <c r="BB477" s="150"/>
      <c r="BC477" s="170"/>
      <c r="BD477" s="170"/>
      <c r="BE477" s="170"/>
      <c r="BF477" s="170"/>
      <c r="BG477" s="170"/>
      <c r="BH477" s="170"/>
      <c r="BI477" s="170"/>
      <c r="BJ477" s="170"/>
      <c r="BK477" s="167">
        <f t="shared" si="305"/>
        <v>0</v>
      </c>
      <c r="BL477" s="167">
        <f t="shared" si="306"/>
        <v>0</v>
      </c>
      <c r="BM477" s="167">
        <f t="shared" si="307"/>
        <v>0</v>
      </c>
      <c r="BN477" s="167">
        <f t="shared" si="308"/>
        <v>0</v>
      </c>
    </row>
    <row r="478" spans="1:66" s="171" customFormat="1" ht="15.75" hidden="1" customHeight="1" outlineLevel="3" x14ac:dyDescent="0.3">
      <c r="A478" s="169"/>
      <c r="B478" s="169"/>
      <c r="C478" s="169"/>
      <c r="D478" s="169"/>
      <c r="E478" s="169" t="s">
        <v>2706</v>
      </c>
      <c r="F478" s="169" t="s">
        <v>3208</v>
      </c>
      <c r="G478" s="169">
        <v>141</v>
      </c>
      <c r="H478" s="169" t="s">
        <v>354</v>
      </c>
      <c r="I478" s="165">
        <f t="shared" si="302"/>
        <v>1295266.1017322834</v>
      </c>
      <c r="J478" s="165">
        <f t="shared" si="309"/>
        <v>1295266.1017322834</v>
      </c>
      <c r="K478" s="150">
        <f t="shared" si="284"/>
        <v>0</v>
      </c>
      <c r="L478" s="150">
        <f t="shared" si="310"/>
        <v>1295266.1017322834</v>
      </c>
      <c r="M478" s="166"/>
      <c r="N478" s="150">
        <f>+(SUM(N419:N421,N423:N436,N438:N443,N445,N447:N449,N451:N461,N463:N464,N466:N473,N476:N477)*0.27)+SUM(N422,N437,N444)*0.05+N407*0.27</f>
        <v>0</v>
      </c>
      <c r="O478" s="150">
        <f>+(SUM(O419:O421,O423:O436,O438:O443,O445,O447:O449,O451:O461,O463:O464,O466:O473,O476:O477)*0.27)+SUM(O422,O437,O444)*0.05+O407*0.27</f>
        <v>0</v>
      </c>
      <c r="P478" s="150">
        <f t="shared" ref="P478:Z478" si="311">+(SUM(P419:P421,P423:P436,P438:P443,P445,P447:P449,P451:P461,P463:P464,P466:P473,P476:P477)*0.27)+SUM(P422,P437,P444)*0.05+P407*0.27</f>
        <v>0</v>
      </c>
      <c r="Q478" s="150">
        <f t="shared" si="311"/>
        <v>0</v>
      </c>
      <c r="R478" s="150">
        <f t="shared" si="311"/>
        <v>0</v>
      </c>
      <c r="S478" s="150">
        <f t="shared" si="311"/>
        <v>0</v>
      </c>
      <c r="T478" s="150">
        <f t="shared" si="311"/>
        <v>0</v>
      </c>
      <c r="U478" s="150">
        <f t="shared" si="311"/>
        <v>0</v>
      </c>
      <c r="V478" s="150">
        <f t="shared" si="311"/>
        <v>0</v>
      </c>
      <c r="W478" s="150">
        <f t="shared" si="311"/>
        <v>0</v>
      </c>
      <c r="X478" s="150">
        <f t="shared" si="311"/>
        <v>0</v>
      </c>
      <c r="Y478" s="150">
        <f t="shared" si="311"/>
        <v>0</v>
      </c>
      <c r="Z478" s="150">
        <f t="shared" si="311"/>
        <v>0</v>
      </c>
      <c r="AA478" s="150">
        <f t="shared" ref="AA478:AL478" si="312">+(SUM(AA419:AA421,AA423:AA436,AA438:AA443,AA445,AA447:AA449,AA451:AA461,AA463:AA464,AA466:AA473,AA476:AA477)*0.27)+SUM(AA422,AA437,AA444)*0.05+AA407*0.27</f>
        <v>0</v>
      </c>
      <c r="AB478" s="150">
        <f t="shared" si="312"/>
        <v>0</v>
      </c>
      <c r="AC478" s="150">
        <f t="shared" si="312"/>
        <v>0</v>
      </c>
      <c r="AD478" s="150">
        <f t="shared" si="312"/>
        <v>0</v>
      </c>
      <c r="AE478" s="150">
        <f t="shared" si="312"/>
        <v>0</v>
      </c>
      <c r="AF478" s="150">
        <f t="shared" ref="AF478" si="313">+(SUM(AF419:AF421,AF423:AF436,AF438:AF443,AF445,AF447:AF449,AF451:AF461,AF463:AF464,AF466:AF473,AF476:AF477)*0.27)+SUM(AF422,AF437,AF444)*0.05+AF407*0.27</f>
        <v>1295266.1017322834</v>
      </c>
      <c r="AG478" s="150">
        <f t="shared" ref="AG478" si="314">+(SUM(AG419:AG421,AG423:AG436,AG438:AG443,AG445,AG447:AG449,AG451:AG461,AG463:AG464,AG466:AG473,AG476:AG477)*0.27)+SUM(AG422,AG437,AG444)*0.05+AG407*0.27</f>
        <v>0</v>
      </c>
      <c r="AH478" s="150">
        <f t="shared" si="312"/>
        <v>0</v>
      </c>
      <c r="AI478" s="150">
        <f t="shared" si="312"/>
        <v>0</v>
      </c>
      <c r="AJ478" s="150">
        <f t="shared" si="312"/>
        <v>0</v>
      </c>
      <c r="AK478" s="150">
        <f t="shared" si="312"/>
        <v>0</v>
      </c>
      <c r="AL478" s="150">
        <f t="shared" si="312"/>
        <v>0</v>
      </c>
      <c r="AM478" s="150"/>
      <c r="AN478" s="150"/>
      <c r="AO478" s="150"/>
      <c r="AP478" s="150"/>
      <c r="AQ478" s="150"/>
      <c r="AR478" s="150"/>
      <c r="AS478" s="150"/>
      <c r="AT478" s="150"/>
      <c r="AU478" s="150"/>
      <c r="AV478" s="150"/>
      <c r="AW478" s="150"/>
      <c r="AX478" s="150"/>
      <c r="AY478" s="150"/>
      <c r="AZ478" s="150"/>
      <c r="BA478" s="150"/>
      <c r="BB478" s="150"/>
      <c r="BC478" s="170"/>
      <c r="BD478" s="170"/>
      <c r="BE478" s="170"/>
      <c r="BF478" s="170"/>
      <c r="BG478" s="170"/>
      <c r="BH478" s="170"/>
      <c r="BI478" s="170"/>
      <c r="BJ478" s="170"/>
      <c r="BK478" s="167">
        <f t="shared" si="305"/>
        <v>0</v>
      </c>
      <c r="BL478" s="167">
        <f t="shared" si="306"/>
        <v>0</v>
      </c>
      <c r="BM478" s="167">
        <f t="shared" si="307"/>
        <v>1295266.1017322834</v>
      </c>
      <c r="BN478" s="167">
        <f t="shared" si="308"/>
        <v>0</v>
      </c>
    </row>
    <row r="479" spans="1:66" s="171" customFormat="1" ht="15.75" hidden="1" customHeight="1" outlineLevel="3" x14ac:dyDescent="0.3">
      <c r="A479" s="169"/>
      <c r="B479" s="169"/>
      <c r="C479" s="169"/>
      <c r="D479" s="169"/>
      <c r="E479" s="169" t="s">
        <v>2706</v>
      </c>
      <c r="F479" s="169" t="s">
        <v>3208</v>
      </c>
      <c r="G479" s="169">
        <v>142</v>
      </c>
      <c r="H479" s="169" t="s">
        <v>356</v>
      </c>
      <c r="I479" s="165">
        <f t="shared" si="302"/>
        <v>0</v>
      </c>
      <c r="J479" s="165">
        <f t="shared" si="309"/>
        <v>0</v>
      </c>
      <c r="K479" s="150">
        <f t="shared" si="284"/>
        <v>0</v>
      </c>
      <c r="L479" s="150">
        <f t="shared" si="310"/>
        <v>0</v>
      </c>
      <c r="M479" s="166"/>
      <c r="N479" s="150"/>
      <c r="O479" s="150"/>
      <c r="P479" s="150"/>
      <c r="Q479" s="150"/>
      <c r="R479" s="150"/>
      <c r="S479" s="150"/>
      <c r="T479" s="150"/>
      <c r="U479" s="150"/>
      <c r="V479" s="150"/>
      <c r="W479" s="150"/>
      <c r="X479" s="150"/>
      <c r="Y479" s="150"/>
      <c r="Z479" s="150"/>
      <c r="AA479" s="150"/>
      <c r="AB479" s="150"/>
      <c r="AC479" s="165"/>
      <c r="AD479" s="165"/>
      <c r="AE479" s="165"/>
      <c r="AF479" s="150"/>
      <c r="AG479" s="165"/>
      <c r="AH479" s="165"/>
      <c r="AI479" s="150"/>
      <c r="AJ479" s="150"/>
      <c r="AK479" s="150"/>
      <c r="AL479" s="150"/>
      <c r="AM479" s="150"/>
      <c r="AN479" s="150"/>
      <c r="AO479" s="150"/>
      <c r="AP479" s="150"/>
      <c r="AQ479" s="150"/>
      <c r="AR479" s="150"/>
      <c r="AS479" s="150"/>
      <c r="AT479" s="150"/>
      <c r="AU479" s="150"/>
      <c r="AV479" s="150"/>
      <c r="AW479" s="150"/>
      <c r="AX479" s="150"/>
      <c r="AY479" s="150"/>
      <c r="AZ479" s="150"/>
      <c r="BA479" s="150"/>
      <c r="BB479" s="150"/>
      <c r="BC479" s="170"/>
      <c r="BD479" s="170"/>
      <c r="BE479" s="170"/>
      <c r="BF479" s="170"/>
      <c r="BG479" s="170"/>
      <c r="BH479" s="170"/>
      <c r="BI479" s="170"/>
      <c r="BJ479" s="170"/>
      <c r="BK479" s="167">
        <f t="shared" si="305"/>
        <v>0</v>
      </c>
      <c r="BL479" s="167">
        <f t="shared" si="306"/>
        <v>0</v>
      </c>
      <c r="BM479" s="167">
        <f t="shared" si="307"/>
        <v>0</v>
      </c>
      <c r="BN479" s="167">
        <f t="shared" si="308"/>
        <v>0</v>
      </c>
    </row>
    <row r="480" spans="1:66" s="171" customFormat="1" ht="15.75" hidden="1" customHeight="1" outlineLevel="3" x14ac:dyDescent="0.3">
      <c r="A480" s="169"/>
      <c r="B480" s="169"/>
      <c r="C480" s="169"/>
      <c r="D480" s="169"/>
      <c r="E480" s="169" t="s">
        <v>2706</v>
      </c>
      <c r="F480" s="169" t="s">
        <v>3208</v>
      </c>
      <c r="G480" s="169">
        <v>144</v>
      </c>
      <c r="H480" s="169" t="s">
        <v>360</v>
      </c>
      <c r="I480" s="165">
        <f t="shared" si="302"/>
        <v>0</v>
      </c>
      <c r="J480" s="165">
        <f t="shared" si="309"/>
        <v>0</v>
      </c>
      <c r="K480" s="150">
        <f t="shared" si="284"/>
        <v>0</v>
      </c>
      <c r="L480" s="150">
        <f t="shared" si="310"/>
        <v>0</v>
      </c>
      <c r="M480" s="166"/>
      <c r="N480" s="150"/>
      <c r="O480" s="150"/>
      <c r="P480" s="150"/>
      <c r="Q480" s="150"/>
      <c r="R480" s="150"/>
      <c r="S480" s="150"/>
      <c r="T480" s="150"/>
      <c r="U480" s="150"/>
      <c r="V480" s="150"/>
      <c r="W480" s="150"/>
      <c r="X480" s="150"/>
      <c r="Y480" s="150"/>
      <c r="Z480" s="150"/>
      <c r="AA480" s="150"/>
      <c r="AB480" s="150"/>
      <c r="AC480" s="165"/>
      <c r="AD480" s="165"/>
      <c r="AE480" s="165"/>
      <c r="AF480" s="150"/>
      <c r="AG480" s="165"/>
      <c r="AH480" s="165"/>
      <c r="AI480" s="150"/>
      <c r="AJ480" s="150"/>
      <c r="AK480" s="150"/>
      <c r="AL480" s="150"/>
      <c r="AM480" s="150"/>
      <c r="AN480" s="150"/>
      <c r="AO480" s="150"/>
      <c r="AP480" s="150"/>
      <c r="AQ480" s="150"/>
      <c r="AR480" s="150"/>
      <c r="AS480" s="150"/>
      <c r="AT480" s="150"/>
      <c r="AU480" s="150"/>
      <c r="AV480" s="150"/>
      <c r="AW480" s="150"/>
      <c r="AX480" s="150"/>
      <c r="AY480" s="150"/>
      <c r="AZ480" s="150"/>
      <c r="BA480" s="150"/>
      <c r="BB480" s="150"/>
      <c r="BC480" s="170"/>
      <c r="BD480" s="170"/>
      <c r="BE480" s="170"/>
      <c r="BF480" s="170"/>
      <c r="BG480" s="170"/>
      <c r="BH480" s="170"/>
      <c r="BI480" s="170"/>
      <c r="BJ480" s="170"/>
      <c r="BK480" s="167">
        <f t="shared" si="305"/>
        <v>0</v>
      </c>
      <c r="BL480" s="167">
        <f t="shared" si="306"/>
        <v>0</v>
      </c>
      <c r="BM480" s="167">
        <f t="shared" si="307"/>
        <v>0</v>
      </c>
      <c r="BN480" s="167">
        <f t="shared" si="308"/>
        <v>0</v>
      </c>
    </row>
    <row r="481" spans="1:66" s="171" customFormat="1" ht="15.75" hidden="1" customHeight="1" outlineLevel="3" x14ac:dyDescent="0.3">
      <c r="A481" s="169"/>
      <c r="B481" s="169"/>
      <c r="C481" s="169"/>
      <c r="D481" s="169"/>
      <c r="E481" s="169" t="s">
        <v>2706</v>
      </c>
      <c r="F481" s="169" t="s">
        <v>3208</v>
      </c>
      <c r="G481" s="169">
        <v>145</v>
      </c>
      <c r="H481" s="169" t="s">
        <v>362</v>
      </c>
      <c r="I481" s="165">
        <f t="shared" si="302"/>
        <v>0</v>
      </c>
      <c r="J481" s="165">
        <f t="shared" si="309"/>
        <v>0</v>
      </c>
      <c r="K481" s="150">
        <f t="shared" si="284"/>
        <v>0</v>
      </c>
      <c r="L481" s="150">
        <f t="shared" si="310"/>
        <v>0</v>
      </c>
      <c r="M481" s="166"/>
      <c r="N481" s="150"/>
      <c r="O481" s="150"/>
      <c r="P481" s="150"/>
      <c r="Q481" s="150"/>
      <c r="R481" s="150"/>
      <c r="S481" s="150"/>
      <c r="T481" s="150"/>
      <c r="U481" s="150"/>
      <c r="V481" s="150"/>
      <c r="W481" s="150"/>
      <c r="X481" s="150"/>
      <c r="Y481" s="150"/>
      <c r="Z481" s="150"/>
      <c r="AA481" s="150"/>
      <c r="AB481" s="150"/>
      <c r="AC481" s="165"/>
      <c r="AD481" s="165"/>
      <c r="AE481" s="165"/>
      <c r="AF481" s="150"/>
      <c r="AG481" s="165"/>
      <c r="AH481" s="165"/>
      <c r="AI481" s="150"/>
      <c r="AJ481" s="150"/>
      <c r="AK481" s="150"/>
      <c r="AL481" s="150"/>
      <c r="AM481" s="150"/>
      <c r="AN481" s="150"/>
      <c r="AO481" s="150"/>
      <c r="AP481" s="150"/>
      <c r="AQ481" s="150"/>
      <c r="AR481" s="150"/>
      <c r="AS481" s="150"/>
      <c r="AT481" s="150"/>
      <c r="AU481" s="150"/>
      <c r="AV481" s="150"/>
      <c r="AW481" s="150"/>
      <c r="AX481" s="150"/>
      <c r="AY481" s="150"/>
      <c r="AZ481" s="150"/>
      <c r="BA481" s="150"/>
      <c r="BB481" s="150"/>
      <c r="BC481" s="170"/>
      <c r="BD481" s="170"/>
      <c r="BE481" s="170"/>
      <c r="BF481" s="170"/>
      <c r="BG481" s="170"/>
      <c r="BH481" s="170"/>
      <c r="BI481" s="170"/>
      <c r="BJ481" s="170"/>
      <c r="BK481" s="167">
        <f t="shared" si="305"/>
        <v>0</v>
      </c>
      <c r="BL481" s="167">
        <f t="shared" si="306"/>
        <v>0</v>
      </c>
      <c r="BM481" s="167">
        <f t="shared" si="307"/>
        <v>0</v>
      </c>
      <c r="BN481" s="167">
        <f t="shared" si="308"/>
        <v>0</v>
      </c>
    </row>
    <row r="482" spans="1:66" s="171" customFormat="1" ht="15.75" hidden="1" customHeight="1" outlineLevel="3" x14ac:dyDescent="0.3">
      <c r="A482" s="169"/>
      <c r="B482" s="169"/>
      <c r="C482" s="169"/>
      <c r="D482" s="169"/>
      <c r="E482" s="169" t="s">
        <v>2706</v>
      </c>
      <c r="F482" s="169" t="s">
        <v>3208</v>
      </c>
      <c r="G482" s="169">
        <v>146</v>
      </c>
      <c r="H482" s="169" t="s">
        <v>364</v>
      </c>
      <c r="I482" s="165">
        <f t="shared" si="302"/>
        <v>0</v>
      </c>
      <c r="J482" s="165">
        <f t="shared" si="309"/>
        <v>0</v>
      </c>
      <c r="K482" s="150">
        <f t="shared" si="284"/>
        <v>0</v>
      </c>
      <c r="L482" s="150">
        <f t="shared" si="310"/>
        <v>0</v>
      </c>
      <c r="M482" s="166"/>
      <c r="N482" s="150"/>
      <c r="O482" s="150"/>
      <c r="P482" s="150"/>
      <c r="Q482" s="150"/>
      <c r="R482" s="150"/>
      <c r="S482" s="150"/>
      <c r="T482" s="150"/>
      <c r="U482" s="150"/>
      <c r="V482" s="150"/>
      <c r="W482" s="150"/>
      <c r="X482" s="150"/>
      <c r="Y482" s="150"/>
      <c r="Z482" s="150"/>
      <c r="AA482" s="150"/>
      <c r="AB482" s="150"/>
      <c r="AC482" s="165"/>
      <c r="AD482" s="165"/>
      <c r="AE482" s="165"/>
      <c r="AF482" s="150"/>
      <c r="AG482" s="165"/>
      <c r="AH482" s="165"/>
      <c r="AI482" s="150"/>
      <c r="AJ482" s="150"/>
      <c r="AK482" s="150"/>
      <c r="AL482" s="150"/>
      <c r="AM482" s="150"/>
      <c r="AN482" s="150"/>
      <c r="AO482" s="150"/>
      <c r="AP482" s="150"/>
      <c r="AQ482" s="150"/>
      <c r="AR482" s="150"/>
      <c r="AS482" s="150"/>
      <c r="AT482" s="150"/>
      <c r="AU482" s="150"/>
      <c r="AV482" s="150"/>
      <c r="AW482" s="150"/>
      <c r="AX482" s="150"/>
      <c r="AY482" s="150"/>
      <c r="AZ482" s="150"/>
      <c r="BA482" s="150"/>
      <c r="BB482" s="150"/>
      <c r="BC482" s="170"/>
      <c r="BD482" s="170"/>
      <c r="BE482" s="170"/>
      <c r="BF482" s="170"/>
      <c r="BG482" s="170"/>
      <c r="BH482" s="170"/>
      <c r="BI482" s="170"/>
      <c r="BJ482" s="170"/>
      <c r="BK482" s="167">
        <f t="shared" si="305"/>
        <v>0</v>
      </c>
      <c r="BL482" s="167">
        <f t="shared" si="306"/>
        <v>0</v>
      </c>
      <c r="BM482" s="167">
        <f t="shared" si="307"/>
        <v>0</v>
      </c>
      <c r="BN482" s="167">
        <f t="shared" si="308"/>
        <v>0</v>
      </c>
    </row>
    <row r="483" spans="1:66" s="171" customFormat="1" ht="15.75" hidden="1" customHeight="1" outlineLevel="3" x14ac:dyDescent="0.3">
      <c r="A483" s="169"/>
      <c r="B483" s="169"/>
      <c r="C483" s="169"/>
      <c r="D483" s="169"/>
      <c r="E483" s="169" t="s">
        <v>2706</v>
      </c>
      <c r="F483" s="169" t="s">
        <v>3208</v>
      </c>
      <c r="G483" s="169">
        <v>147</v>
      </c>
      <c r="H483" s="169" t="s">
        <v>365</v>
      </c>
      <c r="I483" s="165">
        <f t="shared" si="302"/>
        <v>0</v>
      </c>
      <c r="J483" s="165">
        <f t="shared" si="309"/>
        <v>0</v>
      </c>
      <c r="K483" s="150">
        <f t="shared" si="284"/>
        <v>0</v>
      </c>
      <c r="L483" s="150">
        <f t="shared" si="310"/>
        <v>0</v>
      </c>
      <c r="M483" s="166"/>
      <c r="N483" s="150"/>
      <c r="O483" s="150"/>
      <c r="P483" s="150"/>
      <c r="Q483" s="150"/>
      <c r="R483" s="150"/>
      <c r="S483" s="150"/>
      <c r="T483" s="150"/>
      <c r="U483" s="150"/>
      <c r="V483" s="150"/>
      <c r="W483" s="150"/>
      <c r="X483" s="150"/>
      <c r="Y483" s="150"/>
      <c r="Z483" s="150"/>
      <c r="AA483" s="150"/>
      <c r="AB483" s="150"/>
      <c r="AC483" s="165"/>
      <c r="AD483" s="165"/>
      <c r="AE483" s="165"/>
      <c r="AF483" s="150"/>
      <c r="AG483" s="165"/>
      <c r="AH483" s="165"/>
      <c r="AI483" s="150"/>
      <c r="AJ483" s="150"/>
      <c r="AK483" s="150"/>
      <c r="AL483" s="150"/>
      <c r="AM483" s="150"/>
      <c r="AN483" s="150"/>
      <c r="AO483" s="150"/>
      <c r="AP483" s="150"/>
      <c r="AQ483" s="150"/>
      <c r="AR483" s="150"/>
      <c r="AS483" s="150"/>
      <c r="AT483" s="150"/>
      <c r="AU483" s="150"/>
      <c r="AV483" s="150"/>
      <c r="AW483" s="150"/>
      <c r="AX483" s="150"/>
      <c r="AY483" s="150"/>
      <c r="AZ483" s="150"/>
      <c r="BA483" s="150"/>
      <c r="BB483" s="150"/>
      <c r="BC483" s="170"/>
      <c r="BD483" s="170"/>
      <c r="BE483" s="170"/>
      <c r="BF483" s="170"/>
      <c r="BG483" s="170"/>
      <c r="BH483" s="170"/>
      <c r="BI483" s="170"/>
      <c r="BJ483" s="170"/>
      <c r="BK483" s="167">
        <f t="shared" si="305"/>
        <v>0</v>
      </c>
      <c r="BL483" s="167">
        <f t="shared" si="306"/>
        <v>0</v>
      </c>
      <c r="BM483" s="167">
        <f t="shared" si="307"/>
        <v>0</v>
      </c>
      <c r="BN483" s="167">
        <f t="shared" si="308"/>
        <v>0</v>
      </c>
    </row>
    <row r="484" spans="1:66" s="171" customFormat="1" ht="15.75" hidden="1" customHeight="1" outlineLevel="3" x14ac:dyDescent="0.3">
      <c r="A484" s="169"/>
      <c r="B484" s="169"/>
      <c r="C484" s="169"/>
      <c r="D484" s="169"/>
      <c r="E484" s="169" t="s">
        <v>2706</v>
      </c>
      <c r="F484" s="169" t="s">
        <v>3208</v>
      </c>
      <c r="G484" s="169">
        <v>148</v>
      </c>
      <c r="H484" s="169" t="s">
        <v>366</v>
      </c>
      <c r="I484" s="165">
        <f t="shared" ref="I484:I485" si="315">+J484</f>
        <v>0.45</v>
      </c>
      <c r="J484" s="165">
        <f t="shared" si="309"/>
        <v>0.45</v>
      </c>
      <c r="K484" s="150">
        <f t="shared" si="284"/>
        <v>0</v>
      </c>
      <c r="L484" s="150">
        <f t="shared" si="310"/>
        <v>0.45</v>
      </c>
      <c r="M484" s="166"/>
      <c r="N484" s="150"/>
      <c r="O484" s="150"/>
      <c r="P484" s="150"/>
      <c r="Q484" s="150"/>
      <c r="R484" s="150"/>
      <c r="S484" s="150"/>
      <c r="T484" s="150"/>
      <c r="U484" s="150"/>
      <c r="V484" s="150"/>
      <c r="W484" s="150"/>
      <c r="X484" s="150"/>
      <c r="Y484" s="150"/>
      <c r="Z484" s="150"/>
      <c r="AA484" s="150"/>
      <c r="AB484" s="150"/>
      <c r="AC484" s="165"/>
      <c r="AD484" s="165"/>
      <c r="AE484" s="165"/>
      <c r="AF484" s="150">
        <v>0.45</v>
      </c>
      <c r="AG484" s="165"/>
      <c r="AH484" s="165"/>
      <c r="AI484" s="150"/>
      <c r="AJ484" s="150"/>
      <c r="AK484" s="150"/>
      <c r="AL484" s="150"/>
      <c r="AM484" s="150"/>
      <c r="AN484" s="150"/>
      <c r="AO484" s="150"/>
      <c r="AP484" s="150"/>
      <c r="AQ484" s="150"/>
      <c r="AR484" s="150"/>
      <c r="AS484" s="150"/>
      <c r="AT484" s="150"/>
      <c r="AU484" s="150"/>
      <c r="AV484" s="150"/>
      <c r="AW484" s="150"/>
      <c r="AX484" s="150"/>
      <c r="AY484" s="150"/>
      <c r="AZ484" s="150"/>
      <c r="BA484" s="150"/>
      <c r="BB484" s="150"/>
      <c r="BC484" s="170"/>
      <c r="BD484" s="170"/>
      <c r="BE484" s="170"/>
      <c r="BF484" s="170"/>
      <c r="BG484" s="170"/>
      <c r="BH484" s="170"/>
      <c r="BI484" s="170"/>
      <c r="BJ484" s="170"/>
      <c r="BK484" s="167">
        <f t="shared" si="305"/>
        <v>0</v>
      </c>
      <c r="BL484" s="167">
        <f t="shared" si="306"/>
        <v>0</v>
      </c>
      <c r="BM484" s="167">
        <f t="shared" si="307"/>
        <v>0.45</v>
      </c>
      <c r="BN484" s="167">
        <f t="shared" si="308"/>
        <v>0</v>
      </c>
    </row>
    <row r="485" spans="1:66" s="171" customFormat="1" ht="15.75" hidden="1" customHeight="1" outlineLevel="3" x14ac:dyDescent="0.3">
      <c r="A485" s="169"/>
      <c r="B485" s="169"/>
      <c r="C485" s="169"/>
      <c r="D485" s="169"/>
      <c r="E485" s="169" t="s">
        <v>2706</v>
      </c>
      <c r="F485" s="169" t="s">
        <v>3208</v>
      </c>
      <c r="G485" s="169">
        <v>149</v>
      </c>
      <c r="H485" s="169" t="s">
        <v>368</v>
      </c>
      <c r="I485" s="165">
        <f t="shared" si="315"/>
        <v>0</v>
      </c>
      <c r="J485" s="165">
        <f t="shared" si="309"/>
        <v>0</v>
      </c>
      <c r="K485" s="150">
        <f t="shared" si="284"/>
        <v>0</v>
      </c>
      <c r="L485" s="150">
        <f t="shared" si="310"/>
        <v>0</v>
      </c>
      <c r="M485" s="166"/>
      <c r="N485" s="150"/>
      <c r="O485" s="150"/>
      <c r="P485" s="150"/>
      <c r="Q485" s="150"/>
      <c r="R485" s="150"/>
      <c r="S485" s="150"/>
      <c r="T485" s="150"/>
      <c r="U485" s="150"/>
      <c r="V485" s="150"/>
      <c r="W485" s="150"/>
      <c r="X485" s="150"/>
      <c r="Y485" s="150"/>
      <c r="Z485" s="150"/>
      <c r="AA485" s="150"/>
      <c r="AB485" s="150"/>
      <c r="AC485" s="165"/>
      <c r="AD485" s="165"/>
      <c r="AE485" s="165"/>
      <c r="AF485" s="150"/>
      <c r="AG485" s="165"/>
      <c r="AH485" s="165"/>
      <c r="AI485" s="150"/>
      <c r="AJ485" s="150"/>
      <c r="AK485" s="150"/>
      <c r="AL485" s="150"/>
      <c r="AM485" s="150"/>
      <c r="AN485" s="150"/>
      <c r="AO485" s="150"/>
      <c r="AP485" s="150"/>
      <c r="AQ485" s="150"/>
      <c r="AR485" s="150"/>
      <c r="AS485" s="150"/>
      <c r="AT485" s="150"/>
      <c r="AU485" s="150"/>
      <c r="AV485" s="150"/>
      <c r="AW485" s="150"/>
      <c r="AX485" s="150"/>
      <c r="AY485" s="150"/>
      <c r="AZ485" s="150"/>
      <c r="BA485" s="150"/>
      <c r="BB485" s="150"/>
      <c r="BC485" s="170"/>
      <c r="BD485" s="170"/>
      <c r="BE485" s="170"/>
      <c r="BF485" s="170"/>
      <c r="BG485" s="170"/>
      <c r="BH485" s="170"/>
      <c r="BI485" s="170"/>
      <c r="BJ485" s="170"/>
      <c r="BK485" s="167">
        <f t="shared" si="305"/>
        <v>0</v>
      </c>
      <c r="BL485" s="167">
        <f t="shared" si="306"/>
        <v>0</v>
      </c>
      <c r="BM485" s="167">
        <f t="shared" si="307"/>
        <v>0</v>
      </c>
      <c r="BN485" s="167">
        <f t="shared" si="308"/>
        <v>0</v>
      </c>
    </row>
    <row r="486" spans="1:66" s="171" customFormat="1" hidden="1" outlineLevel="2" collapsed="1" x14ac:dyDescent="0.3">
      <c r="A486" s="164" t="s">
        <v>51</v>
      </c>
      <c r="B486" s="164"/>
      <c r="C486" s="164"/>
      <c r="D486" s="164"/>
      <c r="E486" s="164" t="str">
        <f>VLOOKUP(A486,'Kiadások 2a SZH 2023'!A:B,2,0)</f>
        <v>Kiadások célfeladatokra (átfutó)</v>
      </c>
      <c r="F486" s="164" t="s">
        <v>2695</v>
      </c>
      <c r="G486" s="188"/>
      <c r="H486" s="164" t="s">
        <v>2617</v>
      </c>
      <c r="I486" s="165">
        <f>IFERROR(VLOOKUP($A486,'Kiadások 2a SZH 2023'!$A:$M,MATCH($I$1,'Kiadások 2a SZH 2023'!$A$1:$M$1,0),0), )</f>
        <v>0</v>
      </c>
      <c r="J486" s="165">
        <f t="shared" si="309"/>
        <v>0</v>
      </c>
      <c r="K486" s="150">
        <f t="shared" si="284"/>
        <v>0</v>
      </c>
      <c r="L486" s="150">
        <f t="shared" si="310"/>
        <v>0</v>
      </c>
      <c r="M486" s="166"/>
      <c r="N486" s="150"/>
      <c r="O486" s="150"/>
      <c r="P486" s="150"/>
      <c r="Q486" s="150"/>
      <c r="R486" s="150"/>
      <c r="S486" s="150"/>
      <c r="T486" s="150"/>
      <c r="U486" s="150"/>
      <c r="V486" s="150"/>
      <c r="W486" s="150"/>
      <c r="X486" s="150"/>
      <c r="Y486" s="150"/>
      <c r="Z486" s="150"/>
      <c r="AA486" s="150"/>
      <c r="AB486" s="150"/>
      <c r="AC486" s="150"/>
      <c r="AD486" s="150"/>
      <c r="AE486" s="150"/>
      <c r="AF486" s="150"/>
      <c r="AG486" s="150"/>
      <c r="AH486" s="150">
        <f>+AH487+AH490</f>
        <v>0</v>
      </c>
      <c r="AI486" s="150"/>
      <c r="AJ486" s="150"/>
      <c r="AK486" s="150"/>
      <c r="AL486" s="150"/>
      <c r="AM486" s="150"/>
      <c r="AN486" s="150"/>
      <c r="AO486" s="150"/>
      <c r="AP486" s="150"/>
      <c r="AQ486" s="150"/>
      <c r="AR486" s="150"/>
      <c r="AS486" s="150"/>
      <c r="AT486" s="150"/>
      <c r="AU486" s="150"/>
      <c r="AV486" s="150"/>
      <c r="AW486" s="150"/>
      <c r="AX486" s="150"/>
      <c r="AY486" s="150"/>
      <c r="AZ486" s="150"/>
      <c r="BA486" s="150"/>
      <c r="BB486" s="150"/>
      <c r="BC486" s="170"/>
      <c r="BD486" s="170"/>
      <c r="BE486" s="170"/>
      <c r="BF486" s="170"/>
      <c r="BG486" s="170"/>
      <c r="BH486" s="170"/>
      <c r="BI486" s="170"/>
      <c r="BJ486" s="170"/>
      <c r="BK486" s="167">
        <f t="shared" si="305"/>
        <v>0</v>
      </c>
      <c r="BL486" s="167">
        <f t="shared" si="306"/>
        <v>0</v>
      </c>
      <c r="BM486" s="167">
        <f t="shared" si="307"/>
        <v>0</v>
      </c>
      <c r="BN486" s="167">
        <f t="shared" si="308"/>
        <v>0</v>
      </c>
    </row>
    <row r="487" spans="1:66" s="171" customFormat="1" ht="15" hidden="1" customHeight="1" outlineLevel="2" x14ac:dyDescent="0.3">
      <c r="A487" s="169"/>
      <c r="B487" s="164"/>
      <c r="C487" s="164"/>
      <c r="D487" s="164"/>
      <c r="E487" s="164" t="s">
        <v>2756</v>
      </c>
      <c r="F487" s="169"/>
      <c r="G487" s="169"/>
      <c r="H487" s="169" t="s">
        <v>2617</v>
      </c>
      <c r="I487" s="165">
        <f>SUM(I488:I489)</f>
        <v>0</v>
      </c>
      <c r="J487" s="165">
        <f t="shared" si="309"/>
        <v>0</v>
      </c>
      <c r="K487" s="150">
        <f t="shared" ref="K487:K492" si="316">+I487-J487</f>
        <v>0</v>
      </c>
      <c r="L487" s="150">
        <f t="shared" si="310"/>
        <v>0</v>
      </c>
      <c r="M487" s="166"/>
      <c r="N487" s="150"/>
      <c r="O487" s="150"/>
      <c r="P487" s="150"/>
      <c r="Q487" s="150"/>
      <c r="R487" s="150"/>
      <c r="S487" s="150"/>
      <c r="T487" s="150"/>
      <c r="U487" s="150"/>
      <c r="V487" s="150"/>
      <c r="W487" s="150"/>
      <c r="X487" s="150"/>
      <c r="Y487" s="150"/>
      <c r="Z487" s="150"/>
      <c r="AA487" s="150"/>
      <c r="AB487" s="150"/>
      <c r="AC487" s="150"/>
      <c r="AD487" s="150"/>
      <c r="AE487" s="150"/>
      <c r="AF487" s="150"/>
      <c r="AG487" s="150"/>
      <c r="AH487" s="150">
        <f>SUM(AH488:AH489)</f>
        <v>0</v>
      </c>
      <c r="AI487" s="150">
        <f>SUM(AI488:AI489)</f>
        <v>0</v>
      </c>
      <c r="AJ487" s="150"/>
      <c r="AK487" s="150"/>
      <c r="AL487" s="150"/>
      <c r="AM487" s="150"/>
      <c r="AN487" s="150"/>
      <c r="AO487" s="150"/>
      <c r="AP487" s="150"/>
      <c r="AQ487" s="150"/>
      <c r="AR487" s="150"/>
      <c r="AS487" s="150"/>
      <c r="AT487" s="150"/>
      <c r="AU487" s="150"/>
      <c r="AV487" s="150"/>
      <c r="AW487" s="150"/>
      <c r="AX487" s="150"/>
      <c r="AY487" s="150"/>
      <c r="AZ487" s="150"/>
      <c r="BA487" s="150"/>
      <c r="BB487" s="150"/>
      <c r="BC487" s="170"/>
      <c r="BD487" s="170"/>
      <c r="BE487" s="170"/>
      <c r="BF487" s="170"/>
      <c r="BG487" s="170"/>
      <c r="BH487" s="170"/>
      <c r="BI487" s="170"/>
      <c r="BJ487" s="170"/>
      <c r="BK487" s="167">
        <f t="shared" si="305"/>
        <v>0</v>
      </c>
      <c r="BL487" s="167">
        <f t="shared" si="306"/>
        <v>0</v>
      </c>
      <c r="BM487" s="167">
        <f t="shared" si="307"/>
        <v>0</v>
      </c>
      <c r="BN487" s="167">
        <f t="shared" si="308"/>
        <v>0</v>
      </c>
    </row>
    <row r="488" spans="1:66" s="171" customFormat="1" hidden="1" outlineLevel="2" x14ac:dyDescent="0.3">
      <c r="A488" s="183"/>
      <c r="B488" s="164" t="s">
        <v>2735</v>
      </c>
      <c r="C488" s="164" t="s">
        <v>64</v>
      </c>
      <c r="D488" s="164" t="s">
        <v>2838</v>
      </c>
      <c r="E488" s="169" t="s">
        <v>2757</v>
      </c>
      <c r="F488" s="186" t="s">
        <v>66</v>
      </c>
      <c r="G488" s="200"/>
      <c r="H488" s="198" t="s">
        <v>2590</v>
      </c>
      <c r="I488" s="178"/>
      <c r="J488" s="165">
        <f t="shared" si="309"/>
        <v>0</v>
      </c>
      <c r="K488" s="150">
        <f t="shared" si="316"/>
        <v>0</v>
      </c>
      <c r="L488" s="150">
        <f t="shared" si="310"/>
        <v>0</v>
      </c>
      <c r="M488" s="166"/>
      <c r="N488" s="150"/>
      <c r="O488" s="150"/>
      <c r="P488" s="150"/>
      <c r="Q488" s="150"/>
      <c r="R488" s="150"/>
      <c r="S488" s="150"/>
      <c r="T488" s="150"/>
      <c r="U488" s="150"/>
      <c r="V488" s="150"/>
      <c r="W488" s="150"/>
      <c r="X488" s="150"/>
      <c r="Y488" s="150"/>
      <c r="Z488" s="150"/>
      <c r="AA488" s="150"/>
      <c r="AB488" s="150"/>
      <c r="AC488" s="150"/>
      <c r="AD488" s="150"/>
      <c r="AE488" s="150"/>
      <c r="AF488" s="150"/>
      <c r="AG488" s="150"/>
      <c r="AH488" s="150">
        <f>+I488</f>
        <v>0</v>
      </c>
      <c r="AI488" s="150"/>
      <c r="AJ488" s="150"/>
      <c r="AK488" s="150"/>
      <c r="AL488" s="150"/>
      <c r="AM488" s="150"/>
      <c r="AN488" s="150"/>
      <c r="AO488" s="150"/>
      <c r="AP488" s="150"/>
      <c r="AQ488" s="150"/>
      <c r="AR488" s="150"/>
      <c r="AS488" s="150"/>
      <c r="AT488" s="150"/>
      <c r="AU488" s="150"/>
      <c r="AV488" s="150"/>
      <c r="AW488" s="150"/>
      <c r="AX488" s="150"/>
      <c r="AY488" s="150"/>
      <c r="AZ488" s="150"/>
      <c r="BA488" s="150"/>
      <c r="BB488" s="150"/>
      <c r="BC488" s="170"/>
      <c r="BD488" s="170"/>
      <c r="BE488" s="170"/>
      <c r="BF488" s="170"/>
      <c r="BG488" s="170"/>
      <c r="BH488" s="170"/>
      <c r="BI488" s="170"/>
      <c r="BJ488" s="170"/>
      <c r="BK488" s="167">
        <f t="shared" si="305"/>
        <v>0</v>
      </c>
      <c r="BL488" s="167">
        <f t="shared" si="306"/>
        <v>0</v>
      </c>
      <c r="BM488" s="167">
        <f t="shared" si="307"/>
        <v>0</v>
      </c>
      <c r="BN488" s="167">
        <f t="shared" si="308"/>
        <v>0</v>
      </c>
    </row>
    <row r="489" spans="1:66" s="171" customFormat="1" hidden="1" outlineLevel="2" x14ac:dyDescent="0.3">
      <c r="A489" s="169"/>
      <c r="B489" s="164" t="s">
        <v>2728</v>
      </c>
      <c r="C489" s="164" t="s">
        <v>64</v>
      </c>
      <c r="D489" s="164" t="s">
        <v>2839</v>
      </c>
      <c r="E489" s="169" t="s">
        <v>2758</v>
      </c>
      <c r="F489" s="169" t="s">
        <v>66</v>
      </c>
      <c r="G489" s="169"/>
      <c r="H489" s="198" t="s">
        <v>2590</v>
      </c>
      <c r="I489" s="178"/>
      <c r="J489" s="165">
        <f t="shared" si="309"/>
        <v>0</v>
      </c>
      <c r="K489" s="150">
        <f t="shared" si="316"/>
        <v>0</v>
      </c>
      <c r="L489" s="150">
        <f t="shared" si="310"/>
        <v>0</v>
      </c>
      <c r="M489" s="166"/>
      <c r="N489" s="150"/>
      <c r="O489" s="150"/>
      <c r="P489" s="150"/>
      <c r="Q489" s="150"/>
      <c r="R489" s="150"/>
      <c r="S489" s="150"/>
      <c r="T489" s="150"/>
      <c r="U489" s="150"/>
      <c r="V489" s="150"/>
      <c r="W489" s="150"/>
      <c r="X489" s="150"/>
      <c r="Y489" s="150"/>
      <c r="Z489" s="150"/>
      <c r="AA489" s="150"/>
      <c r="AB489" s="150"/>
      <c r="AC489" s="150"/>
      <c r="AD489" s="150"/>
      <c r="AE489" s="150"/>
      <c r="AF489" s="150"/>
      <c r="AG489" s="150"/>
      <c r="AH489" s="150">
        <f>+I489</f>
        <v>0</v>
      </c>
      <c r="AI489" s="150">
        <f>+I489</f>
        <v>0</v>
      </c>
      <c r="AJ489" s="150"/>
      <c r="AK489" s="150"/>
      <c r="AL489" s="150"/>
      <c r="AM489" s="150"/>
      <c r="AN489" s="150"/>
      <c r="AO489" s="150"/>
      <c r="AP489" s="150"/>
      <c r="AQ489" s="150"/>
      <c r="AR489" s="150"/>
      <c r="AS489" s="150"/>
      <c r="AT489" s="150"/>
      <c r="AU489" s="150"/>
      <c r="AV489" s="150"/>
      <c r="AW489" s="150"/>
      <c r="AX489" s="150"/>
      <c r="AY489" s="150"/>
      <c r="AZ489" s="150"/>
      <c r="BA489" s="150"/>
      <c r="BB489" s="150"/>
      <c r="BC489" s="170"/>
      <c r="BD489" s="170"/>
      <c r="BE489" s="170"/>
      <c r="BF489" s="170"/>
      <c r="BG489" s="170"/>
      <c r="BH489" s="170"/>
      <c r="BI489" s="170"/>
      <c r="BJ489" s="170"/>
      <c r="BK489" s="167">
        <f t="shared" si="305"/>
        <v>0</v>
      </c>
      <c r="BL489" s="167">
        <f t="shared" si="306"/>
        <v>0</v>
      </c>
      <c r="BM489" s="167">
        <f t="shared" si="307"/>
        <v>0</v>
      </c>
      <c r="BN489" s="167">
        <f t="shared" si="308"/>
        <v>0</v>
      </c>
    </row>
    <row r="490" spans="1:66" s="171" customFormat="1" hidden="1" outlineLevel="2" x14ac:dyDescent="0.3">
      <c r="A490" s="169"/>
      <c r="B490" s="164"/>
      <c r="C490" s="164"/>
      <c r="D490" s="164"/>
      <c r="E490" s="164" t="s">
        <v>2759</v>
      </c>
      <c r="F490" s="169"/>
      <c r="G490" s="169"/>
      <c r="H490" s="169" t="s">
        <v>2617</v>
      </c>
      <c r="I490" s="165">
        <f>SUM(I491:I492)</f>
        <v>0</v>
      </c>
      <c r="J490" s="165">
        <f t="shared" si="309"/>
        <v>0</v>
      </c>
      <c r="K490" s="150">
        <f t="shared" si="316"/>
        <v>0</v>
      </c>
      <c r="L490" s="150">
        <f t="shared" si="310"/>
        <v>0</v>
      </c>
      <c r="M490" s="166"/>
      <c r="N490" s="150"/>
      <c r="O490" s="150"/>
      <c r="P490" s="150"/>
      <c r="Q490" s="150"/>
      <c r="R490" s="150"/>
      <c r="S490" s="150"/>
      <c r="T490" s="150"/>
      <c r="U490" s="150"/>
      <c r="V490" s="150"/>
      <c r="W490" s="150"/>
      <c r="X490" s="150"/>
      <c r="Y490" s="150"/>
      <c r="Z490" s="150"/>
      <c r="AA490" s="150"/>
      <c r="AB490" s="150"/>
      <c r="AC490" s="150"/>
      <c r="AD490" s="150"/>
      <c r="AE490" s="150"/>
      <c r="AF490" s="150"/>
      <c r="AG490" s="150"/>
      <c r="AH490" s="150">
        <f>SUM(AH491:AH492)</f>
        <v>0</v>
      </c>
      <c r="AI490" s="150">
        <f>SUM(AI491:AI492)</f>
        <v>0</v>
      </c>
      <c r="AJ490" s="150"/>
      <c r="AK490" s="150"/>
      <c r="AL490" s="150"/>
      <c r="AM490" s="150"/>
      <c r="AN490" s="150"/>
      <c r="AO490" s="150"/>
      <c r="AP490" s="150"/>
      <c r="AQ490" s="150"/>
      <c r="AR490" s="150"/>
      <c r="AS490" s="150"/>
      <c r="AT490" s="150"/>
      <c r="AU490" s="150"/>
      <c r="AV490" s="150"/>
      <c r="AW490" s="150"/>
      <c r="AX490" s="150"/>
      <c r="AY490" s="150"/>
      <c r="AZ490" s="150"/>
      <c r="BA490" s="150"/>
      <c r="BB490" s="150"/>
      <c r="BC490" s="170"/>
      <c r="BD490" s="170"/>
      <c r="BE490" s="170"/>
      <c r="BF490" s="170"/>
      <c r="BG490" s="170"/>
      <c r="BH490" s="170"/>
      <c r="BI490" s="170"/>
      <c r="BJ490" s="170"/>
      <c r="BK490" s="167">
        <f t="shared" si="305"/>
        <v>0</v>
      </c>
      <c r="BL490" s="167">
        <f t="shared" si="306"/>
        <v>0</v>
      </c>
      <c r="BM490" s="167">
        <f t="shared" si="307"/>
        <v>0</v>
      </c>
      <c r="BN490" s="167">
        <f t="shared" si="308"/>
        <v>0</v>
      </c>
    </row>
    <row r="491" spans="1:66" s="171" customFormat="1" hidden="1" outlineLevel="2" x14ac:dyDescent="0.3">
      <c r="A491" s="169"/>
      <c r="B491" s="164" t="s">
        <v>2735</v>
      </c>
      <c r="C491" s="164" t="s">
        <v>64</v>
      </c>
      <c r="D491" s="164" t="s">
        <v>2838</v>
      </c>
      <c r="E491" s="169" t="s">
        <v>2760</v>
      </c>
      <c r="F491" s="169" t="s">
        <v>64</v>
      </c>
      <c r="G491" s="169"/>
      <c r="H491" s="199" t="s">
        <v>2752</v>
      </c>
      <c r="I491" s="178"/>
      <c r="J491" s="165">
        <f t="shared" si="309"/>
        <v>0</v>
      </c>
      <c r="K491" s="150">
        <f t="shared" si="316"/>
        <v>0</v>
      </c>
      <c r="L491" s="150">
        <f t="shared" si="310"/>
        <v>0</v>
      </c>
      <c r="M491" s="166"/>
      <c r="N491" s="150"/>
      <c r="O491" s="150"/>
      <c r="P491" s="150"/>
      <c r="Q491" s="150"/>
      <c r="R491" s="150"/>
      <c r="S491" s="150"/>
      <c r="T491" s="150"/>
      <c r="U491" s="150"/>
      <c r="V491" s="150"/>
      <c r="W491" s="150"/>
      <c r="X491" s="150"/>
      <c r="Y491" s="150"/>
      <c r="Z491" s="150"/>
      <c r="AA491" s="150"/>
      <c r="AB491" s="150"/>
      <c r="AC491" s="150"/>
      <c r="AD491" s="150"/>
      <c r="AE491" s="150"/>
      <c r="AF491" s="150"/>
      <c r="AG491" s="150"/>
      <c r="AH491" s="150">
        <f>+I491</f>
        <v>0</v>
      </c>
      <c r="AI491" s="150">
        <f>+I491</f>
        <v>0</v>
      </c>
      <c r="AJ491" s="150"/>
      <c r="AK491" s="150"/>
      <c r="AL491" s="150"/>
      <c r="AM491" s="150"/>
      <c r="AN491" s="150"/>
      <c r="AO491" s="150"/>
      <c r="AP491" s="150"/>
      <c r="AQ491" s="150"/>
      <c r="AR491" s="150"/>
      <c r="AS491" s="150"/>
      <c r="AT491" s="150"/>
      <c r="AU491" s="150"/>
      <c r="AV491" s="150"/>
      <c r="AW491" s="150"/>
      <c r="AX491" s="150"/>
      <c r="AY491" s="150"/>
      <c r="AZ491" s="150"/>
      <c r="BA491" s="150"/>
      <c r="BB491" s="150"/>
      <c r="BC491" s="170"/>
      <c r="BD491" s="170"/>
      <c r="BE491" s="170"/>
      <c r="BF491" s="170"/>
      <c r="BG491" s="170"/>
      <c r="BH491" s="170"/>
      <c r="BI491" s="170"/>
      <c r="BJ491" s="170"/>
      <c r="BK491" s="167">
        <f t="shared" si="305"/>
        <v>0</v>
      </c>
      <c r="BL491" s="167">
        <f t="shared" si="306"/>
        <v>0</v>
      </c>
      <c r="BM491" s="167">
        <f t="shared" si="307"/>
        <v>0</v>
      </c>
      <c r="BN491" s="167">
        <f t="shared" si="308"/>
        <v>0</v>
      </c>
    </row>
    <row r="492" spans="1:66" s="171" customFormat="1" hidden="1" outlineLevel="2" x14ac:dyDescent="0.3">
      <c r="A492" s="169"/>
      <c r="B492" s="164" t="s">
        <v>2728</v>
      </c>
      <c r="C492" s="164" t="s">
        <v>64</v>
      </c>
      <c r="D492" s="164" t="s">
        <v>2839</v>
      </c>
      <c r="E492" s="169" t="s">
        <v>2761</v>
      </c>
      <c r="F492" s="169" t="s">
        <v>64</v>
      </c>
      <c r="G492" s="169"/>
      <c r="H492" s="199" t="s">
        <v>2752</v>
      </c>
      <c r="I492" s="165">
        <f>+I486-I487-I491</f>
        <v>0</v>
      </c>
      <c r="J492" s="165">
        <f t="shared" si="309"/>
        <v>0</v>
      </c>
      <c r="K492" s="150">
        <f t="shared" si="316"/>
        <v>0</v>
      </c>
      <c r="L492" s="150">
        <f t="shared" si="310"/>
        <v>0</v>
      </c>
      <c r="M492" s="166"/>
      <c r="N492" s="150"/>
      <c r="O492" s="150"/>
      <c r="P492" s="150"/>
      <c r="Q492" s="150"/>
      <c r="R492" s="150"/>
      <c r="S492" s="150"/>
      <c r="T492" s="150"/>
      <c r="U492" s="150"/>
      <c r="V492" s="150"/>
      <c r="W492" s="150"/>
      <c r="X492" s="150"/>
      <c r="Y492" s="150"/>
      <c r="Z492" s="150"/>
      <c r="AA492" s="150"/>
      <c r="AB492" s="150"/>
      <c r="AC492" s="150"/>
      <c r="AD492" s="150"/>
      <c r="AE492" s="150"/>
      <c r="AF492" s="150"/>
      <c r="AG492" s="150"/>
      <c r="AH492" s="150">
        <f>+I492</f>
        <v>0</v>
      </c>
      <c r="AI492" s="150"/>
      <c r="AJ492" s="150"/>
      <c r="AK492" s="150"/>
      <c r="AL492" s="150"/>
      <c r="AM492" s="150"/>
      <c r="AN492" s="150"/>
      <c r="AO492" s="150"/>
      <c r="AP492" s="150"/>
      <c r="AQ492" s="150"/>
      <c r="AR492" s="150"/>
      <c r="AS492" s="150"/>
      <c r="AT492" s="150"/>
      <c r="AU492" s="150"/>
      <c r="AV492" s="150"/>
      <c r="AW492" s="150"/>
      <c r="AX492" s="150"/>
      <c r="AY492" s="150"/>
      <c r="AZ492" s="150"/>
      <c r="BA492" s="150"/>
      <c r="BB492" s="150"/>
      <c r="BC492" s="170"/>
      <c r="BD492" s="170"/>
      <c r="BE492" s="170"/>
      <c r="BF492" s="170"/>
      <c r="BG492" s="170"/>
      <c r="BH492" s="170"/>
      <c r="BI492" s="170"/>
      <c r="BJ492" s="170"/>
      <c r="BK492" s="167">
        <f t="shared" si="305"/>
        <v>0</v>
      </c>
      <c r="BL492" s="167">
        <f t="shared" si="306"/>
        <v>0</v>
      </c>
      <c r="BM492" s="167">
        <f t="shared" si="307"/>
        <v>0</v>
      </c>
      <c r="BN492" s="167">
        <f t="shared" si="308"/>
        <v>0</v>
      </c>
    </row>
    <row r="493" spans="1:66" s="171" customFormat="1" x14ac:dyDescent="0.3">
      <c r="A493" s="201"/>
      <c r="B493" s="201" t="s">
        <v>2802</v>
      </c>
      <c r="C493" s="201" t="s">
        <v>2813</v>
      </c>
      <c r="D493" s="201" t="s">
        <v>2847</v>
      </c>
      <c r="E493" s="201" t="str">
        <f>+B493</f>
        <v>KIADÁSOK ÖSSZESEN</v>
      </c>
      <c r="F493" s="201"/>
      <c r="G493" s="201"/>
      <c r="H493" s="201"/>
      <c r="I493" s="197">
        <f>I505+I506</f>
        <v>860031032.96327913</v>
      </c>
      <c r="J493" s="197">
        <f t="shared" ref="J493:BJ493" si="317">J505+J506</f>
        <v>860031032.28999996</v>
      </c>
      <c r="K493" s="197">
        <f t="shared" si="317"/>
        <v>0.67327914433553815</v>
      </c>
      <c r="L493" s="197">
        <f t="shared" si="317"/>
        <v>860031032.28999996</v>
      </c>
      <c r="M493" s="197"/>
      <c r="N493" s="197">
        <f t="shared" si="317"/>
        <v>88701411.040000007</v>
      </c>
      <c r="O493" s="197">
        <f t="shared" ref="O493:Z493" si="318">O505+O506</f>
        <v>73612897.350000009</v>
      </c>
      <c r="P493" s="197">
        <f t="shared" si="318"/>
        <v>12399060.720000001</v>
      </c>
      <c r="Q493" s="197">
        <f t="shared" si="318"/>
        <v>66274586.670000002</v>
      </c>
      <c r="R493" s="197">
        <f t="shared" si="318"/>
        <v>25499665.439999998</v>
      </c>
      <c r="S493" s="197">
        <f t="shared" si="318"/>
        <v>46288301.699999996</v>
      </c>
      <c r="T493" s="197">
        <f t="shared" si="318"/>
        <v>18973373.550000001</v>
      </c>
      <c r="U493" s="197">
        <f t="shared" si="318"/>
        <v>39274452.780000001</v>
      </c>
      <c r="V493" s="197">
        <f t="shared" si="318"/>
        <v>60617930.239999995</v>
      </c>
      <c r="W493" s="197">
        <f t="shared" si="318"/>
        <v>33043502.440000001</v>
      </c>
      <c r="X493" s="197">
        <f t="shared" si="318"/>
        <v>14389348.720000001</v>
      </c>
      <c r="Y493" s="197">
        <f t="shared" si="318"/>
        <v>51222656.490000002</v>
      </c>
      <c r="Z493" s="197">
        <f t="shared" si="318"/>
        <v>34027360.149999999</v>
      </c>
      <c r="AA493" s="197">
        <f t="shared" si="317"/>
        <v>59041998.660000004</v>
      </c>
      <c r="AB493" s="197">
        <f t="shared" si="317"/>
        <v>0</v>
      </c>
      <c r="AC493" s="197">
        <f t="shared" si="317"/>
        <v>11458202.49</v>
      </c>
      <c r="AD493" s="197">
        <f t="shared" si="317"/>
        <v>0</v>
      </c>
      <c r="AE493" s="197">
        <f t="shared" si="317"/>
        <v>0</v>
      </c>
      <c r="AF493" s="197">
        <f t="shared" ref="AF493" si="319">AF505+AF506</f>
        <v>11999999.41</v>
      </c>
      <c r="AG493" s="197">
        <f t="shared" ref="AG493" si="320">AG505+AG506</f>
        <v>23305125.440000001</v>
      </c>
      <c r="AH493" s="197">
        <f t="shared" si="317"/>
        <v>0</v>
      </c>
      <c r="AI493" s="197">
        <f t="shared" si="317"/>
        <v>0</v>
      </c>
      <c r="AJ493" s="197">
        <f t="shared" si="317"/>
        <v>0</v>
      </c>
      <c r="AK493" s="197">
        <f t="shared" si="317"/>
        <v>0</v>
      </c>
      <c r="AL493" s="197">
        <f t="shared" si="317"/>
        <v>0</v>
      </c>
      <c r="AM493" s="197">
        <f t="shared" si="317"/>
        <v>701969</v>
      </c>
      <c r="AN493" s="197">
        <f t="shared" si="317"/>
        <v>19731182</v>
      </c>
      <c r="AO493" s="197">
        <f t="shared" si="317"/>
        <v>169468008</v>
      </c>
      <c r="AP493" s="197">
        <f t="shared" si="317"/>
        <v>0</v>
      </c>
      <c r="AQ493" s="197"/>
      <c r="AR493" s="197">
        <f t="shared" si="317"/>
        <v>0</v>
      </c>
      <c r="AS493" s="197">
        <f t="shared" si="317"/>
        <v>0</v>
      </c>
      <c r="AT493" s="197">
        <f t="shared" si="317"/>
        <v>0</v>
      </c>
      <c r="AU493" s="197">
        <f t="shared" si="317"/>
        <v>0</v>
      </c>
      <c r="AV493" s="197">
        <f t="shared" si="317"/>
        <v>0</v>
      </c>
      <c r="AW493" s="197">
        <f t="shared" si="317"/>
        <v>0</v>
      </c>
      <c r="AX493" s="197">
        <f t="shared" si="317"/>
        <v>0</v>
      </c>
      <c r="AY493" s="197">
        <f t="shared" si="317"/>
        <v>0</v>
      </c>
      <c r="AZ493" s="197">
        <f t="shared" si="317"/>
        <v>0</v>
      </c>
      <c r="BA493" s="197">
        <f t="shared" si="317"/>
        <v>0</v>
      </c>
      <c r="BB493" s="197">
        <f t="shared" si="317"/>
        <v>0</v>
      </c>
      <c r="BC493" s="197">
        <f t="shared" si="317"/>
        <v>0</v>
      </c>
      <c r="BD493" s="197">
        <f t="shared" si="317"/>
        <v>0</v>
      </c>
      <c r="BE493" s="197">
        <f t="shared" si="317"/>
        <v>0</v>
      </c>
      <c r="BF493" s="197">
        <f t="shared" si="317"/>
        <v>0</v>
      </c>
      <c r="BG493" s="197">
        <f t="shared" si="317"/>
        <v>0</v>
      </c>
      <c r="BH493" s="197">
        <f t="shared" si="317"/>
        <v>0</v>
      </c>
      <c r="BI493" s="197">
        <f t="shared" si="317"/>
        <v>0</v>
      </c>
      <c r="BJ493" s="197">
        <f t="shared" si="317"/>
        <v>0</v>
      </c>
      <c r="BK493" s="197">
        <f t="shared" ref="BK493" si="321">BK505+BK506</f>
        <v>623366545.95000005</v>
      </c>
      <c r="BL493" s="197">
        <f t="shared" si="306"/>
        <v>0</v>
      </c>
      <c r="BM493" s="197">
        <f t="shared" si="307"/>
        <v>236664486.34</v>
      </c>
      <c r="BN493" s="197">
        <f t="shared" si="308"/>
        <v>0</v>
      </c>
    </row>
    <row r="494" spans="1:66" s="171" customFormat="1" ht="31.2" collapsed="1" x14ac:dyDescent="0.3">
      <c r="A494" s="201"/>
      <c r="B494" s="194" t="s">
        <v>3207</v>
      </c>
      <c r="C494" s="201" t="s">
        <v>2915</v>
      </c>
      <c r="D494" s="201" t="s">
        <v>2914</v>
      </c>
      <c r="E494" s="194" t="str">
        <f>+B494</f>
        <v>KORRIGÁLT EGYENLEG (KARI BELSŐ POZÍCIÓ)</v>
      </c>
      <c r="F494" s="201"/>
      <c r="G494" s="201"/>
      <c r="H494" s="201"/>
      <c r="I494" s="197">
        <f>+I191-I493+I192+I195+I201</f>
        <v>-49712946.938796148</v>
      </c>
      <c r="J494" s="197">
        <f>+J191-J493+J192+J195+J201</f>
        <v>-49712947.169056028</v>
      </c>
      <c r="K494" s="197">
        <f>+K191-K493+K192+K195+K201</f>
        <v>3.6655640473472886</v>
      </c>
      <c r="L494" s="197">
        <f>+L191-L493+L192+L195+L201</f>
        <v>194896939.85258585</v>
      </c>
      <c r="M494" s="197"/>
      <c r="N494" s="197">
        <f t="shared" ref="N494:AL494" si="322">+N191-N493+N192+N195+N201</f>
        <v>18702138.471278332</v>
      </c>
      <c r="O494" s="197">
        <f t="shared" si="322"/>
        <v>-44285034.85129828</v>
      </c>
      <c r="P494" s="197">
        <f t="shared" si="322"/>
        <v>-5994332.0683491696</v>
      </c>
      <c r="Q494" s="197">
        <f t="shared" si="322"/>
        <v>-27592309.56720563</v>
      </c>
      <c r="R494" s="197">
        <f t="shared" si="322"/>
        <v>-10548044.774731936</v>
      </c>
      <c r="S494" s="197">
        <f t="shared" si="322"/>
        <v>-8016660.0673493668</v>
      </c>
      <c r="T494" s="197">
        <f t="shared" si="322"/>
        <v>-1644786.9481198816</v>
      </c>
      <c r="U494" s="197">
        <f t="shared" si="322"/>
        <v>7561302.8088412266</v>
      </c>
      <c r="V494" s="197">
        <f t="shared" si="322"/>
        <v>-5099195.1654360117</v>
      </c>
      <c r="W494" s="197">
        <f t="shared" si="322"/>
        <v>5744751.5299418643</v>
      </c>
      <c r="X494" s="197">
        <f t="shared" si="322"/>
        <v>5534400.1678416301</v>
      </c>
      <c r="Y494" s="197">
        <f t="shared" si="322"/>
        <v>10782744.326963546</v>
      </c>
      <c r="Z494" s="197">
        <f t="shared" si="322"/>
        <v>-7540502.702484156</v>
      </c>
      <c r="AA494" s="197">
        <f t="shared" si="322"/>
        <v>0.27886208891868591</v>
      </c>
      <c r="AB494" s="197">
        <f t="shared" si="322"/>
        <v>0</v>
      </c>
      <c r="AC494" s="197">
        <f t="shared" si="322"/>
        <v>6794190.5605943259</v>
      </c>
      <c r="AD494" s="197">
        <f t="shared" si="322"/>
        <v>-2983500</v>
      </c>
      <c r="AE494" s="197">
        <f t="shared" si="322"/>
        <v>-15000</v>
      </c>
      <c r="AF494" s="197">
        <f t="shared" si="322"/>
        <v>8886891.271595221</v>
      </c>
      <c r="AG494" s="197">
        <f t="shared" si="322"/>
        <v>-0.44000000134110451</v>
      </c>
      <c r="AH494" s="197">
        <f t="shared" si="322"/>
        <v>0</v>
      </c>
      <c r="AI494" s="197">
        <f t="shared" si="322"/>
        <v>0</v>
      </c>
      <c r="AJ494" s="197">
        <f t="shared" si="322"/>
        <v>0</v>
      </c>
      <c r="AK494" s="197">
        <f t="shared" si="322"/>
        <v>0</v>
      </c>
      <c r="AL494" s="197">
        <f t="shared" si="322"/>
        <v>0</v>
      </c>
      <c r="AM494" s="197">
        <f t="shared" ref="AM494:BN494" si="323">+AM191-AM493+AM192+AM195+AM201</f>
        <v>0</v>
      </c>
      <c r="AN494" s="197">
        <f t="shared" si="323"/>
        <v>0</v>
      </c>
      <c r="AO494" s="197">
        <f t="shared" si="323"/>
        <v>-4</v>
      </c>
      <c r="AP494" s="197">
        <f t="shared" si="323"/>
        <v>1268176</v>
      </c>
      <c r="AQ494" s="197">
        <f t="shared" si="323"/>
        <v>0</v>
      </c>
      <c r="AR494" s="197">
        <f t="shared" si="323"/>
        <v>194403644.63074037</v>
      </c>
      <c r="AS494" s="197">
        <f t="shared" si="323"/>
        <v>42158065</v>
      </c>
      <c r="AT494" s="197">
        <f t="shared" si="323"/>
        <v>95377.41</v>
      </c>
      <c r="AU494" s="197">
        <f t="shared" si="323"/>
        <v>4984708.8366856501</v>
      </c>
      <c r="AV494" s="197">
        <f t="shared" si="323"/>
        <v>0</v>
      </c>
      <c r="AW494" s="197">
        <f t="shared" si="323"/>
        <v>0</v>
      </c>
      <c r="AX494" s="197">
        <f t="shared" si="323"/>
        <v>0</v>
      </c>
      <c r="AY494" s="197">
        <f t="shared" si="323"/>
        <v>0</v>
      </c>
      <c r="AZ494" s="197">
        <f t="shared" si="323"/>
        <v>0</v>
      </c>
      <c r="BA494" s="197">
        <f t="shared" si="323"/>
        <v>0</v>
      </c>
      <c r="BB494" s="197">
        <f t="shared" si="323"/>
        <v>6979623.5999999996</v>
      </c>
      <c r="BC494" s="197">
        <f t="shared" si="323"/>
        <v>0</v>
      </c>
      <c r="BD494" s="197">
        <f t="shared" si="323"/>
        <v>0</v>
      </c>
      <c r="BE494" s="197">
        <f t="shared" si="323"/>
        <v>0</v>
      </c>
      <c r="BF494" s="197">
        <f t="shared" si="323"/>
        <v>0</v>
      </c>
      <c r="BG494" s="197">
        <f t="shared" si="323"/>
        <v>1687538.279215849</v>
      </c>
      <c r="BH494" s="197">
        <f t="shared" si="323"/>
        <v>9644473</v>
      </c>
      <c r="BI494" s="197">
        <f t="shared" si="323"/>
        <v>0</v>
      </c>
      <c r="BJ494" s="197">
        <f t="shared" si="323"/>
        <v>0</v>
      </c>
      <c r="BK494" s="197">
        <f t="shared" si="323"/>
        <v>-62395528.561245769</v>
      </c>
      <c r="BL494" s="197">
        <f t="shared" si="323"/>
        <v>0</v>
      </c>
      <c r="BM494" s="197">
        <f t="shared" si="323"/>
        <v>-14130470.607810467</v>
      </c>
      <c r="BN494" s="197">
        <f t="shared" si="323"/>
        <v>261221606.75664186</v>
      </c>
    </row>
    <row r="495" spans="1:66" s="171" customFormat="1" hidden="1" outlineLevel="1" x14ac:dyDescent="0.3">
      <c r="I495" s="190"/>
      <c r="J495" s="190"/>
      <c r="K495" s="190"/>
      <c r="L495" s="190"/>
      <c r="M495" s="202"/>
      <c r="N495" s="190"/>
      <c r="O495" s="190"/>
      <c r="P495" s="190"/>
      <c r="Q495" s="190"/>
      <c r="R495" s="190"/>
      <c r="S495" s="190"/>
      <c r="T495" s="190"/>
      <c r="U495" s="190"/>
      <c r="V495" s="190"/>
      <c r="W495" s="190"/>
      <c r="X495" s="190"/>
      <c r="Y495" s="190"/>
      <c r="Z495" s="190"/>
      <c r="AA495" s="190"/>
      <c r="AB495" s="190"/>
      <c r="AC495" s="190"/>
      <c r="AD495" s="190"/>
      <c r="AE495" s="190"/>
      <c r="AF495" s="190"/>
      <c r="AG495" s="190"/>
      <c r="AH495" s="190"/>
      <c r="AI495" s="190"/>
      <c r="AJ495" s="190"/>
      <c r="AK495" s="190"/>
      <c r="AL495" s="190"/>
      <c r="AM495" s="190"/>
      <c r="AN495" s="190"/>
      <c r="AO495" s="190"/>
      <c r="AP495" s="190"/>
      <c r="AQ495" s="190"/>
      <c r="AR495" s="190"/>
      <c r="AS495" s="190"/>
      <c r="AT495" s="190"/>
      <c r="AU495" s="190"/>
      <c r="AV495" s="190"/>
      <c r="AW495" s="190"/>
      <c r="AX495" s="190"/>
      <c r="AY495" s="190"/>
      <c r="AZ495" s="190"/>
      <c r="BA495" s="190"/>
      <c r="BB495" s="190"/>
      <c r="BC495" s="203"/>
      <c r="BD495" s="203"/>
      <c r="BE495" s="203"/>
      <c r="BF495" s="203"/>
      <c r="BG495" s="203"/>
      <c r="BH495" s="203"/>
      <c r="BI495" s="203"/>
      <c r="BJ495" s="203"/>
      <c r="BK495" s="203"/>
      <c r="BL495" s="203"/>
      <c r="BM495" s="203"/>
      <c r="BN495" s="203"/>
    </row>
    <row r="496" spans="1:66" s="171" customFormat="1" hidden="1" outlineLevel="1" x14ac:dyDescent="0.3">
      <c r="I496" s="190"/>
      <c r="J496" s="190">
        <v>803092770</v>
      </c>
      <c r="K496" s="190">
        <f>+I503-J496</f>
        <v>7225315.5147849321</v>
      </c>
      <c r="L496" s="190">
        <v>69782445</v>
      </c>
      <c r="M496" s="777">
        <f>+I494+L496</f>
        <v>20069498.061203852</v>
      </c>
      <c r="N496" s="190">
        <f>+N510-N494</f>
        <v>-6.7055225372314453E-8</v>
      </c>
      <c r="O496" s="190"/>
      <c r="P496" s="190"/>
      <c r="Q496" s="190"/>
      <c r="R496" s="190"/>
      <c r="S496" s="190"/>
      <c r="T496" s="190"/>
      <c r="U496" s="190"/>
      <c r="V496" s="190"/>
      <c r="W496" s="190"/>
      <c r="X496" s="190"/>
      <c r="Y496" s="190"/>
      <c r="Z496" s="190">
        <v>846062166</v>
      </c>
      <c r="AA496" s="190"/>
      <c r="AB496" s="190"/>
      <c r="AC496" s="190"/>
      <c r="AD496" s="190"/>
      <c r="AE496" s="190"/>
      <c r="AF496" s="190"/>
      <c r="AG496" s="190"/>
      <c r="AH496" s="190"/>
      <c r="AI496" s="190"/>
      <c r="AJ496" s="190"/>
      <c r="AK496" s="190"/>
      <c r="AL496" s="190"/>
      <c r="AM496" s="190"/>
      <c r="AN496" s="190"/>
      <c r="AO496" s="190"/>
      <c r="AP496" s="190"/>
      <c r="AQ496" s="190"/>
      <c r="AR496" s="190"/>
      <c r="AS496" s="190"/>
      <c r="AT496" s="190"/>
      <c r="AU496" s="190"/>
      <c r="AV496" s="190"/>
      <c r="AW496" s="190"/>
      <c r="AX496" s="190"/>
      <c r="AY496" s="190"/>
      <c r="AZ496" s="190"/>
      <c r="BA496" s="190"/>
      <c r="BB496" s="190"/>
      <c r="BC496" s="203"/>
      <c r="BD496" s="203"/>
      <c r="BE496" s="203"/>
      <c r="BF496" s="203"/>
      <c r="BG496" s="203"/>
      <c r="BH496" s="203"/>
      <c r="BI496" s="203"/>
      <c r="BJ496" s="203"/>
      <c r="BK496" s="203"/>
      <c r="BL496" s="203"/>
      <c r="BM496" s="203"/>
      <c r="BN496" s="203"/>
    </row>
    <row r="497" spans="1:66" s="171" customFormat="1" ht="16.2" hidden="1" outlineLevel="1" thickBot="1" x14ac:dyDescent="0.35">
      <c r="I497" s="190"/>
      <c r="J497" s="190"/>
      <c r="K497" s="190"/>
      <c r="L497" s="190"/>
      <c r="M497" s="202"/>
      <c r="N497" s="190"/>
      <c r="O497" s="190"/>
      <c r="P497" s="190"/>
      <c r="Q497" s="190"/>
      <c r="R497" s="190"/>
      <c r="S497" s="190"/>
      <c r="T497" s="190"/>
      <c r="U497" s="190"/>
      <c r="V497" s="190"/>
      <c r="W497" s="190"/>
      <c r="X497" s="190"/>
      <c r="Y497" s="190"/>
      <c r="Z497" s="190"/>
      <c r="AA497" s="190"/>
      <c r="AB497" s="190"/>
      <c r="AC497" s="190"/>
      <c r="AD497" s="190"/>
      <c r="AE497" s="190"/>
      <c r="AF497" s="190"/>
      <c r="AG497" s="190"/>
      <c r="AH497" s="190"/>
      <c r="AI497" s="190"/>
      <c r="AJ497" s="190"/>
      <c r="AK497" s="190"/>
      <c r="AL497" s="190"/>
      <c r="AM497" s="190"/>
      <c r="AN497" s="190"/>
      <c r="AO497" s="190"/>
      <c r="AP497" s="190"/>
      <c r="AQ497" s="190"/>
      <c r="AR497" s="190"/>
      <c r="AS497" s="190"/>
      <c r="AT497" s="190"/>
      <c r="AU497" s="190"/>
      <c r="AV497" s="190"/>
      <c r="AW497" s="190"/>
      <c r="AX497" s="190"/>
      <c r="AY497" s="190"/>
      <c r="AZ497" s="190"/>
      <c r="BA497" s="190"/>
      <c r="BB497" s="190"/>
      <c r="BC497" s="203"/>
      <c r="BD497" s="203"/>
      <c r="BE497" s="203"/>
      <c r="BF497" s="203"/>
      <c r="BG497" s="203"/>
      <c r="BH497" s="203"/>
      <c r="BI497" s="203"/>
      <c r="BJ497" s="203"/>
      <c r="BK497" s="203"/>
      <c r="BL497" s="203"/>
      <c r="BM497" s="203"/>
      <c r="BN497" s="203"/>
    </row>
    <row r="498" spans="1:66" s="171" customFormat="1" hidden="1" outlineLevel="1" x14ac:dyDescent="0.3">
      <c r="B498" s="204" t="s">
        <v>3574</v>
      </c>
      <c r="C498" s="205" t="s">
        <v>2731</v>
      </c>
      <c r="D498" s="205"/>
      <c r="E498" s="204" t="s">
        <v>3574</v>
      </c>
      <c r="F498" s="206" t="s">
        <v>2696</v>
      </c>
      <c r="G498" s="206"/>
      <c r="H498" s="206" t="s">
        <v>2920</v>
      </c>
      <c r="I498" s="207">
        <f>SUMIF($F$4:$F497,$F498,I$4:I497)</f>
        <v>755508450.64785576</v>
      </c>
      <c r="J498" s="207">
        <f>SUMIF($F$4:$F497,$F498,J$4:J497)</f>
        <v>755508445.74431646</v>
      </c>
      <c r="K498" s="779">
        <f>+I498-J498</f>
        <v>4.9035392999649048</v>
      </c>
      <c r="L498" s="207">
        <f>SUMIF($F$4:$F497,$F498,L$4:L497)</f>
        <v>998768306.14258575</v>
      </c>
      <c r="M498" s="207"/>
      <c r="N498" s="207">
        <f>SUMIF($F$4:$F497,$F498,N$4:N497)</f>
        <v>122581253.6738212</v>
      </c>
      <c r="O498" s="207">
        <f>SUMIF($F$4:$F497,$F498,O$4:O497)</f>
        <v>31330674.916719295</v>
      </c>
      <c r="P498" s="207">
        <f>SUMIF($F$4:$F497,$F498,P$4:P497)</f>
        <v>6807991.4525876781</v>
      </c>
      <c r="Q498" s="207">
        <f>SUMIF($F$4:$F497,$F498,Q$4:Q497)</f>
        <v>40487857.425763413</v>
      </c>
      <c r="R498" s="207">
        <f>SUMIF($F$4:$F497,$F498,R$4:R497)</f>
        <v>16275968.468239628</v>
      </c>
      <c r="S498" s="207">
        <f>SUMIF($F$4:$F497,$F498,S$4:S497)</f>
        <v>40299933.003340721</v>
      </c>
      <c r="T498" s="207">
        <f>SUMIF($F$4:$F497,$F498,T$4:T497)</f>
        <v>17801120.625903547</v>
      </c>
      <c r="U498" s="207">
        <f>SUMIF($F$4:$F497,$F498,U$4:U497)</f>
        <v>47794238.713289142</v>
      </c>
      <c r="V498" s="207">
        <f>SUMIF($F$4:$F497,$F498,V$4:V497)</f>
        <v>59529455.453217268</v>
      </c>
      <c r="W498" s="207">
        <f>SUMIF($F$4:$F497,$F498,W$4:W497)</f>
        <v>47084848.599762425</v>
      </c>
      <c r="X498" s="207">
        <f>SUMIF($F$4:$F497,$F498,X$4:X497)</f>
        <v>29345044.991312981</v>
      </c>
      <c r="Y498" s="207">
        <f>SUMIF($F$4:$F497,$F498,Y$4:Y497)</f>
        <v>66969446.411459565</v>
      </c>
      <c r="Z498" s="207">
        <f>SUMIF($F$4:$F497,$F498,Z$4:Z497)</f>
        <v>24221018.263659716</v>
      </c>
      <c r="AA498" s="207">
        <f>SUMIF($F$4:$F497,$F498,AA$4:AA497)</f>
        <v>4376447.9388620891</v>
      </c>
      <c r="AB498" s="207">
        <f>SUMIF($F$4:$F497,$F498,AB$4:AB497)</f>
        <v>0</v>
      </c>
      <c r="AC498" s="207">
        <f>SUMIF($F$4:$F497,$F498,AC$4:AC497)</f>
        <v>4485090.0505943242</v>
      </c>
      <c r="AD498" s="207">
        <f>SUMIF($F$4:$F497,$F498,AD$4:AD497)</f>
        <v>3925000</v>
      </c>
      <c r="AE498" s="207">
        <f>SUMIF($F$4:$F497,$F498,AE$4:AE497)</f>
        <v>0</v>
      </c>
      <c r="AF498" s="207">
        <f>SUMIF($F$4:$F497,$F498,AF$4:AF497)</f>
        <v>14979439.755783459</v>
      </c>
      <c r="AG498" s="207">
        <f>SUMIF($F$4:$F497,$F498,AG$4:AG497)</f>
        <v>0</v>
      </c>
      <c r="AH498" s="207">
        <f>SUMIF($F$4:$F497,$F498,AH$4:AH497)</f>
        <v>0</v>
      </c>
      <c r="AI498" s="207">
        <f>SUMIF($F$4:$F497,$F498,AI$4:AI497)</f>
        <v>0</v>
      </c>
      <c r="AJ498" s="207">
        <f>SUMIF($F$4:$F497,$F498,AJ$4:AJ497)</f>
        <v>0</v>
      </c>
      <c r="AK498" s="207">
        <f>SUMIF($F$4:$F497,$F498,AK$4:AK497)</f>
        <v>0</v>
      </c>
      <c r="AL498" s="207">
        <f>SUMIF($F$4:$F497,$F498,AL$4:AL497)</f>
        <v>0</v>
      </c>
      <c r="AM498" s="207">
        <f>SUMIF($F$4:$F497,$F498,AM$4:AM497)</f>
        <v>723205</v>
      </c>
      <c r="AN498" s="207">
        <f>SUMIF($F$4:$F497,$F498,AN$4:AN497)</f>
        <v>18190618</v>
      </c>
      <c r="AO498" s="207">
        <f>SUMIF($F$4:$F497,$F498,AO$4:AO497)</f>
        <v>158299793</v>
      </c>
      <c r="AP498" s="207">
        <f>SUMIF($F$4:$F497,$F498,AP$4:AP497)</f>
        <v>1268176</v>
      </c>
      <c r="AQ498" s="207"/>
      <c r="AR498" s="207">
        <f>SUMIF($F$4:$F497,$F498,AR$4:AR497)</f>
        <v>194732714.59518746</v>
      </c>
      <c r="AS498" s="207">
        <f>SUMIF($F$4:$F497,$F498,AS$4:AS497)</f>
        <v>42158065</v>
      </c>
      <c r="AT498" s="207">
        <f>SUMIF($F$4:$F497,$F498,AT$4:AT497)</f>
        <v>95377.41</v>
      </c>
      <c r="AU498" s="207">
        <f>SUMIF($F$4:$F497,$F498,AU$4:AU497)</f>
        <v>4993146.5280817291</v>
      </c>
      <c r="AV498" s="207">
        <f>SUMIF($F$4:$F497,$F498,AV$4:AV497)</f>
        <v>0</v>
      </c>
      <c r="AW498" s="207">
        <f>SUMIF($F$4:$F497,$F498,AW$4:AW497)</f>
        <v>0</v>
      </c>
      <c r="AX498" s="207">
        <f>SUMIF($F$4:$F497,$F498,AX$4:AX497)</f>
        <v>0</v>
      </c>
      <c r="AY498" s="207">
        <f>SUMIF($F$4:$F497,$F498,AY$4:AY497)</f>
        <v>0</v>
      </c>
      <c r="AZ498" s="207">
        <f>SUMIF($F$4:$F497,$F498,AZ$4:AZ497)</f>
        <v>0</v>
      </c>
      <c r="BA498" s="207">
        <f>SUMIF($F$4:$F497,$F498,BA$4:BA497)</f>
        <v>0</v>
      </c>
      <c r="BB498" s="207">
        <f>SUMIF($F$4:$F497,$F498,BB$4:BB497)</f>
        <v>6979623.5999999996</v>
      </c>
      <c r="BC498" s="207">
        <f>SUMIF($F$4:$F497,$F498,BC$4:BC497)</f>
        <v>0</v>
      </c>
      <c r="BD498" s="207">
        <f>SUMIF($F$4:$F497,$F498,BD$4:BD497)</f>
        <v>0</v>
      </c>
      <c r="BE498" s="207">
        <f>SUMIF($F$4:$F497,$F498,BE$4:BE497)</f>
        <v>0</v>
      </c>
      <c r="BF498" s="207">
        <f>SUMIF($F$4:$F497,$F498,BF$4:BF497)</f>
        <v>0</v>
      </c>
      <c r="BG498" s="207">
        <f>SUMIF($F$4:$F497,$F498,BG$4:BG497)</f>
        <v>0</v>
      </c>
      <c r="BH498" s="207">
        <f>SUMIF($F$4:$F497,$F498,BH$4:BH497)</f>
        <v>9644473</v>
      </c>
      <c r="BI498" s="207">
        <f>SUMIF($F$4:$F497,$F498,BI$4:BI497)</f>
        <v>0</v>
      </c>
      <c r="BJ498" s="207">
        <f>SUMIF($F$4:$F497,$F498,BJ$4:BJ497)</f>
        <v>0</v>
      </c>
      <c r="BK498" s="207">
        <f>+SUM(N498:AA498)</f>
        <v>554905299.93793869</v>
      </c>
      <c r="BL498" s="207">
        <f>+AB498</f>
        <v>0</v>
      </c>
      <c r="BM498" s="207">
        <f>+SUM(AC498:AO498)</f>
        <v>200603145.80637777</v>
      </c>
      <c r="BN498" s="207">
        <f>+SUM(AP498:BJ498)</f>
        <v>259871576.13326916</v>
      </c>
    </row>
    <row r="499" spans="1:66" s="171" customFormat="1" hidden="1" outlineLevel="1" x14ac:dyDescent="0.3">
      <c r="B499" s="208" t="s">
        <v>3575</v>
      </c>
      <c r="C499" s="209" t="s">
        <v>2731</v>
      </c>
      <c r="D499" s="209" t="s">
        <v>2848</v>
      </c>
      <c r="E499" s="208" t="s">
        <v>3575</v>
      </c>
      <c r="F499" s="209" t="s">
        <v>2699</v>
      </c>
      <c r="G499" s="209"/>
      <c r="H499" s="209"/>
      <c r="I499" s="210">
        <f>SUMIFS(I$4:I$497,$F$4:$F$497,"B")+SUMIFS(I$4:I$497,$F$4:$F$497,"B2A",$G$4:$G$497,"&gt;0")+0.01</f>
        <v>755508450.13815761</v>
      </c>
      <c r="J499" s="210">
        <f>SUMIFS(J$4:J$497,$F$4:$F$497,"B")+SUMIFS(J$4:J$497,$F$4:$F$497,"B2A",$G$4:$G$497,"&gt;0")+SUMIFS(J$4:J$497,$F$4:$F$497,"BKÉ")</f>
        <v>755508445.74431646</v>
      </c>
      <c r="K499" s="780">
        <f>+I499-J499</f>
        <v>4.3938411474227905</v>
      </c>
      <c r="L499" s="210">
        <f>SUMIFS(L$4:L$497,$F$4:$F$497,"B")+SUMIFS(L$4:L$497,$F$4:$F$497,"B2A",$G$4:$G$497,"&gt;0")+SUMIFS(L$4:L$497,$F$4:$F$497,"BKÉ")</f>
        <v>1192686539.0350528</v>
      </c>
      <c r="M499" s="210"/>
      <c r="N499" s="210">
        <f t="shared" ref="N499:AP499" si="324">SUMIFS(N$4:N$497,$F$4:$F$497,"B")+SUMIFS(N$4:N$497,$F$4:$F$497,"B2A",$G$4:$G$497,"&gt;0")+SUMIFS(N$4:N$497,$F$4:$F$497,"BKÉ")</f>
        <v>103627113.24037907</v>
      </c>
      <c r="O499" s="210">
        <f t="shared" si="324"/>
        <v>28394411.236869883</v>
      </c>
      <c r="P499" s="210">
        <f t="shared" si="324"/>
        <v>6179035.033951127</v>
      </c>
      <c r="Q499" s="210">
        <f t="shared" si="324"/>
        <v>36954556.080635846</v>
      </c>
      <c r="R499" s="210">
        <f t="shared" si="324"/>
        <v>14912095.834981581</v>
      </c>
      <c r="S499" s="210">
        <f t="shared" si="324"/>
        <v>37636025.243541479</v>
      </c>
      <c r="T499" s="210">
        <f t="shared" si="324"/>
        <v>15971286.519437641</v>
      </c>
      <c r="U499" s="210">
        <f t="shared" si="324"/>
        <v>44529892.109575242</v>
      </c>
      <c r="V499" s="210">
        <f t="shared" si="324"/>
        <v>54647194.335007317</v>
      </c>
      <c r="W499" s="210">
        <f t="shared" si="324"/>
        <v>35296308.803978249</v>
      </c>
      <c r="X499" s="210">
        <f t="shared" si="324"/>
        <v>19899149.468686473</v>
      </c>
      <c r="Y499" s="210">
        <f t="shared" si="324"/>
        <v>59717348.67094928</v>
      </c>
      <c r="Z499" s="210">
        <f t="shared" si="324"/>
        <v>22542667.421083394</v>
      </c>
      <c r="AA499" s="210">
        <f t="shared" si="324"/>
        <v>51293090.938862085</v>
      </c>
      <c r="AB499" s="210">
        <f t="shared" si="324"/>
        <v>0</v>
      </c>
      <c r="AC499" s="210">
        <f t="shared" si="324"/>
        <v>4485090.0505943242</v>
      </c>
      <c r="AD499" s="210">
        <f t="shared" si="324"/>
        <v>3925000</v>
      </c>
      <c r="AE499" s="210">
        <f t="shared" si="324"/>
        <v>0</v>
      </c>
      <c r="AF499" s="210">
        <f t="shared" si="324"/>
        <v>14979439.755783459</v>
      </c>
      <c r="AG499" s="210">
        <f t="shared" si="324"/>
        <v>23305125</v>
      </c>
      <c r="AH499" s="210">
        <f t="shared" si="324"/>
        <v>0</v>
      </c>
      <c r="AI499" s="210">
        <f t="shared" si="324"/>
        <v>0</v>
      </c>
      <c r="AJ499" s="210">
        <f t="shared" si="324"/>
        <v>0</v>
      </c>
      <c r="AK499" s="210">
        <f t="shared" si="324"/>
        <v>0</v>
      </c>
      <c r="AL499" s="210">
        <f t="shared" si="324"/>
        <v>0</v>
      </c>
      <c r="AM499" s="210">
        <f t="shared" si="324"/>
        <v>723205</v>
      </c>
      <c r="AN499" s="210">
        <f t="shared" si="324"/>
        <v>18190618</v>
      </c>
      <c r="AO499" s="210">
        <f t="shared" si="324"/>
        <v>158299793</v>
      </c>
      <c r="AP499" s="210">
        <f t="shared" si="324"/>
        <v>1268176</v>
      </c>
      <c r="AQ499" s="210"/>
      <c r="AR499" s="210">
        <f t="shared" ref="AR499:BJ499" si="325">SUMIFS(AR$4:AR$497,$F$4:$F$497,"B")+SUMIFS(AR$4:AR$497,$F$4:$F$497,"B2A",$G$4:$G$497,"&gt;0")+SUMIFS(AR$4:AR$497,$F$4:$F$497,"BKÉ")</f>
        <v>194732714.59518746</v>
      </c>
      <c r="AS499" s="210">
        <f t="shared" si="325"/>
        <v>42158065</v>
      </c>
      <c r="AT499" s="210">
        <f t="shared" si="325"/>
        <v>95377.41</v>
      </c>
      <c r="AU499" s="210">
        <f t="shared" si="325"/>
        <v>4993146.5280817291</v>
      </c>
      <c r="AV499" s="210">
        <f t="shared" si="325"/>
        <v>0</v>
      </c>
      <c r="AW499" s="210">
        <f t="shared" si="325"/>
        <v>0</v>
      </c>
      <c r="AX499" s="210">
        <f t="shared" si="325"/>
        <v>0</v>
      </c>
      <c r="AY499" s="210">
        <f t="shared" si="325"/>
        <v>0</v>
      </c>
      <c r="AZ499" s="210">
        <f t="shared" si="325"/>
        <v>0</v>
      </c>
      <c r="BA499" s="210">
        <f t="shared" si="325"/>
        <v>0</v>
      </c>
      <c r="BB499" s="210">
        <f t="shared" si="325"/>
        <v>6979623.5999999996</v>
      </c>
      <c r="BC499" s="210">
        <f t="shared" si="325"/>
        <v>3608659.0295310048</v>
      </c>
      <c r="BD499" s="210">
        <f t="shared" si="325"/>
        <v>192941373.97187892</v>
      </c>
      <c r="BE499" s="210">
        <f t="shared" si="325"/>
        <v>-3179246.5390269402</v>
      </c>
      <c r="BF499" s="210">
        <f t="shared" si="325"/>
        <v>616948.69508403586</v>
      </c>
      <c r="BG499" s="210">
        <f t="shared" si="325"/>
        <v>0</v>
      </c>
      <c r="BH499" s="210">
        <f t="shared" si="325"/>
        <v>9644473</v>
      </c>
      <c r="BI499" s="210">
        <f t="shared" si="325"/>
        <v>0</v>
      </c>
      <c r="BJ499" s="210">
        <f t="shared" si="325"/>
        <v>0</v>
      </c>
      <c r="BK499" s="210">
        <f>+SUM(N499:AA499)</f>
        <v>531600174.93793863</v>
      </c>
      <c r="BL499" s="210">
        <f>+AB499</f>
        <v>0</v>
      </c>
      <c r="BM499" s="210">
        <f>+SUM(AC499:AO499)</f>
        <v>223908270.80637777</v>
      </c>
      <c r="BN499" s="210">
        <f>+SUM(AP499:BJ499)</f>
        <v>453859311.2907362</v>
      </c>
    </row>
    <row r="500" spans="1:66" s="171" customFormat="1" hidden="1" outlineLevel="1" x14ac:dyDescent="0.3">
      <c r="B500" s="208"/>
      <c r="C500" s="209"/>
      <c r="D500" s="209"/>
      <c r="E500" s="208" t="s">
        <v>3576</v>
      </c>
      <c r="F500" s="209"/>
      <c r="G500" s="209"/>
      <c r="H500" s="209"/>
      <c r="I500" s="210"/>
      <c r="J500" s="210">
        <f>SUMIFS(J$4:J$494,$F$4:$F$494,"B",$G$4:$G$494,"&gt;319")+SUMIFS(J$4:J$494,$F$4:$F$494,"B2A",$G$4:$G$494,"&gt;319")+SUMIFS(J$4:J$494,$F$4:$F$494,"BKÉ",$G$4:$G$494,"&gt;319")</f>
        <v>686422956.51314068</v>
      </c>
      <c r="K500" s="780">
        <f t="shared" ref="K500:K503" si="326">+I500-J500</f>
        <v>-686422956.51314068</v>
      </c>
      <c r="L500" s="210">
        <f>SUMIFS(L$4:L$494,$F$4:$F$494,"B",$G$4:$G$494,"&gt;319")+SUMIFS(L$4:L$494,$F$4:$F$494,"B2A",$G$4:$G$494,"&gt;319")+SUMIFS(L$4:L$494,$F$4:$F$494,"BKÉ",$G$4:$G$494,"&gt;319")</f>
        <v>1105471186.2851679</v>
      </c>
      <c r="M500" s="210"/>
      <c r="N500" s="210">
        <f t="shared" ref="N500:AP500" si="327">SUMIFS(N$4:N$494,$F$4:$F$494,"B",$G$4:$G$494,"&gt;319")+SUMIFS(N$4:N$494,$F$4:$F$494,"B2A",$G$4:$G$494,"&gt;319")+SUMIFS(N$4:N$494,$F$4:$F$494,"BKÉ",$G$4:$G$494,"&gt;319")</f>
        <v>92422625.27979666</v>
      </c>
      <c r="O500" s="210">
        <f t="shared" si="327"/>
        <v>26496315.185224641</v>
      </c>
      <c r="P500" s="210">
        <f t="shared" si="327"/>
        <v>5545300.9424106227</v>
      </c>
      <c r="Q500" s="210">
        <f t="shared" si="327"/>
        <v>35127089.670215033</v>
      </c>
      <c r="R500" s="210">
        <f t="shared" si="327"/>
        <v>12315141.985396238</v>
      </c>
      <c r="S500" s="210">
        <f t="shared" si="327"/>
        <v>35116753.507299453</v>
      </c>
      <c r="T500" s="210">
        <f t="shared" si="327"/>
        <v>14740725.195913274</v>
      </c>
      <c r="U500" s="210">
        <f t="shared" si="327"/>
        <v>34013205.776070312</v>
      </c>
      <c r="V500" s="210">
        <f t="shared" si="327"/>
        <v>51904573.470723331</v>
      </c>
      <c r="W500" s="210">
        <f t="shared" si="327"/>
        <v>32880057.200170707</v>
      </c>
      <c r="X500" s="210">
        <f t="shared" si="327"/>
        <v>18977702.232501484</v>
      </c>
      <c r="Y500" s="210">
        <f t="shared" si="327"/>
        <v>54191201.376193523</v>
      </c>
      <c r="Z500" s="210">
        <f t="shared" si="327"/>
        <v>21604219.240985442</v>
      </c>
      <c r="AA500" s="210">
        <f t="shared" si="327"/>
        <v>51293090.938862085</v>
      </c>
      <c r="AB500" s="210">
        <f t="shared" si="327"/>
        <v>0</v>
      </c>
      <c r="AC500" s="210">
        <f t="shared" si="327"/>
        <v>-1191941.2444056775</v>
      </c>
      <c r="AD500" s="210">
        <f t="shared" si="327"/>
        <v>0</v>
      </c>
      <c r="AE500" s="210">
        <f t="shared" si="327"/>
        <v>0</v>
      </c>
      <c r="AF500" s="210">
        <f t="shared" si="327"/>
        <v>468154.755783459</v>
      </c>
      <c r="AG500" s="210">
        <f t="shared" si="327"/>
        <v>23305125</v>
      </c>
      <c r="AH500" s="210">
        <f t="shared" si="327"/>
        <v>0</v>
      </c>
      <c r="AI500" s="210">
        <f t="shared" si="327"/>
        <v>0</v>
      </c>
      <c r="AJ500" s="210">
        <f t="shared" si="327"/>
        <v>0</v>
      </c>
      <c r="AK500" s="210">
        <f t="shared" si="327"/>
        <v>0</v>
      </c>
      <c r="AL500" s="210">
        <f t="shared" si="327"/>
        <v>0</v>
      </c>
      <c r="AM500" s="210">
        <f t="shared" si="327"/>
        <v>723205</v>
      </c>
      <c r="AN500" s="210">
        <f t="shared" si="327"/>
        <v>18190618</v>
      </c>
      <c r="AO500" s="210">
        <f t="shared" si="327"/>
        <v>158299793</v>
      </c>
      <c r="AP500" s="210">
        <f t="shared" si="327"/>
        <v>1268176</v>
      </c>
      <c r="AQ500" s="210"/>
      <c r="AR500" s="210">
        <f t="shared" ref="AR500:BJ500" si="328">SUMIFS(AR$4:AR$494,$F$4:$F$494,"B",$G$4:$G$494,"&gt;319")+SUMIFS(AR$4:AR$494,$F$4:$F$494,"B2A",$G$4:$G$494,"&gt;319")+SUMIFS(AR$4:AR$494,$F$4:$F$494,"BKÉ",$G$4:$G$494,"&gt;319")</f>
        <v>181176065.19594598</v>
      </c>
      <c r="AS500" s="210">
        <f t="shared" si="328"/>
        <v>42158065</v>
      </c>
      <c r="AT500" s="210">
        <f t="shared" si="328"/>
        <v>95377.41</v>
      </c>
      <c r="AU500" s="210">
        <f t="shared" si="328"/>
        <v>4645540.1332293842</v>
      </c>
      <c r="AV500" s="210">
        <f t="shared" si="328"/>
        <v>0</v>
      </c>
      <c r="AW500" s="210">
        <f t="shared" si="328"/>
        <v>0</v>
      </c>
      <c r="AX500" s="210">
        <f t="shared" si="328"/>
        <v>0</v>
      </c>
      <c r="AY500" s="210">
        <f t="shared" si="328"/>
        <v>0</v>
      </c>
      <c r="AZ500" s="210">
        <f t="shared" si="328"/>
        <v>0</v>
      </c>
      <c r="BA500" s="210">
        <f t="shared" si="328"/>
        <v>0</v>
      </c>
      <c r="BB500" s="210">
        <f t="shared" si="328"/>
        <v>6979623.5999999996</v>
      </c>
      <c r="BC500" s="210">
        <f t="shared" si="328"/>
        <v>0</v>
      </c>
      <c r="BD500" s="210">
        <f t="shared" si="328"/>
        <v>192941373.97187892</v>
      </c>
      <c r="BE500" s="210">
        <f t="shared" si="328"/>
        <v>-3179246.5390269402</v>
      </c>
      <c r="BF500" s="210">
        <f t="shared" si="328"/>
        <v>0</v>
      </c>
      <c r="BG500" s="210">
        <f t="shared" si="328"/>
        <v>0</v>
      </c>
      <c r="BH500" s="210">
        <f t="shared" si="328"/>
        <v>9644473</v>
      </c>
      <c r="BI500" s="210">
        <f t="shared" si="328"/>
        <v>0</v>
      </c>
      <c r="BJ500" s="210">
        <f t="shared" si="328"/>
        <v>0</v>
      </c>
      <c r="BK500" s="210">
        <f>+SUM(N500:AA500)</f>
        <v>486628002.00176281</v>
      </c>
      <c r="BL500" s="210">
        <f>+AB500</f>
        <v>0</v>
      </c>
      <c r="BM500" s="210">
        <f>+SUM(AC500:AO500)</f>
        <v>199794954.51137778</v>
      </c>
      <c r="BN500" s="210">
        <f>+SUM(AP500:BJ500)</f>
        <v>435729447.77202731</v>
      </c>
    </row>
    <row r="501" spans="1:66" s="171" customFormat="1" hidden="1" outlineLevel="1" x14ac:dyDescent="0.3">
      <c r="B501" s="208"/>
      <c r="C501" s="209"/>
      <c r="D501" s="209"/>
      <c r="E501" s="208" t="s">
        <v>3577</v>
      </c>
      <c r="F501" s="209"/>
      <c r="G501" s="209"/>
      <c r="H501" s="209"/>
      <c r="I501" s="210"/>
      <c r="J501" s="210">
        <f>SUMIFS(J$4:J$494,$F$4:$F$494,"B",$G$4:$G$494,"&lt;319")+SUMIFS(J$4:J$494,$F$4:$F$494,"B2A",$G$4:$G$494,"&lt;319")+SUMIFS(J$4:J$494,$F$4:$F$494,"BKÉ",$G$4:$G$494,"&lt;319")</f>
        <v>69085489.23117587</v>
      </c>
      <c r="K501" s="780">
        <f t="shared" si="326"/>
        <v>-69085489.23117587</v>
      </c>
      <c r="L501" s="210">
        <f>SUMIFS(L$4:L$494,$F$4:$F$494,"B",$G$4:$G$494,"&lt;319")+SUMIFS(L$4:L$494,$F$4:$F$494,"B2A",$G$4:$G$494,"&lt;319")+SUMIFS(L$4:L$494,$F$4:$F$494,"BKÉ",$G$4:$G$494,"&lt;319")</f>
        <v>87215352.74988471</v>
      </c>
      <c r="M501" s="210"/>
      <c r="N501" s="210">
        <f t="shared" ref="N501:AP501" si="329">SUMIFS(N$4:N$494,$F$4:$F$494,"B",$G$4:$G$494,"&lt;319")+SUMIFS(N$4:N$494,$F$4:$F$494,"B2A",$G$4:$G$494,"&lt;319")+SUMIFS(N$4:N$494,$F$4:$F$494,"BKÉ",$G$4:$G$494,"&lt;319")</f>
        <v>11204487.960582385</v>
      </c>
      <c r="O501" s="210">
        <f t="shared" si="329"/>
        <v>1898096.0516452368</v>
      </c>
      <c r="P501" s="210">
        <f t="shared" si="329"/>
        <v>633734.09154050401</v>
      </c>
      <c r="Q501" s="210">
        <f t="shared" si="329"/>
        <v>1827466.410420811</v>
      </c>
      <c r="R501" s="210">
        <f t="shared" si="329"/>
        <v>2596953.8495853399</v>
      </c>
      <c r="S501" s="210">
        <f t="shared" si="329"/>
        <v>2519271.7362420214</v>
      </c>
      <c r="T501" s="210">
        <f t="shared" si="329"/>
        <v>1230561.3235243643</v>
      </c>
      <c r="U501" s="210">
        <f t="shared" si="329"/>
        <v>10516686.333504913</v>
      </c>
      <c r="V501" s="210">
        <f t="shared" si="329"/>
        <v>2742620.8642840032</v>
      </c>
      <c r="W501" s="210">
        <f t="shared" si="329"/>
        <v>2416251.6038075285</v>
      </c>
      <c r="X501" s="210">
        <f t="shared" si="329"/>
        <v>921447.2361849884</v>
      </c>
      <c r="Y501" s="210">
        <f t="shared" si="329"/>
        <v>5526147.2947557997</v>
      </c>
      <c r="Z501" s="210">
        <f t="shared" si="329"/>
        <v>938448.18009795155</v>
      </c>
      <c r="AA501" s="210">
        <f t="shared" si="329"/>
        <v>0</v>
      </c>
      <c r="AB501" s="210">
        <f t="shared" si="329"/>
        <v>0</v>
      </c>
      <c r="AC501" s="210">
        <f t="shared" si="329"/>
        <v>5677031.2950000009</v>
      </c>
      <c r="AD501" s="210">
        <f t="shared" si="329"/>
        <v>3925000</v>
      </c>
      <c r="AE501" s="210">
        <f t="shared" si="329"/>
        <v>0</v>
      </c>
      <c r="AF501" s="210">
        <f t="shared" si="329"/>
        <v>14511285</v>
      </c>
      <c r="AG501" s="210">
        <f t="shared" si="329"/>
        <v>0</v>
      </c>
      <c r="AH501" s="210">
        <f t="shared" si="329"/>
        <v>0</v>
      </c>
      <c r="AI501" s="210">
        <f t="shared" si="329"/>
        <v>0</v>
      </c>
      <c r="AJ501" s="210">
        <f t="shared" si="329"/>
        <v>0</v>
      </c>
      <c r="AK501" s="210">
        <f t="shared" si="329"/>
        <v>0</v>
      </c>
      <c r="AL501" s="210">
        <f t="shared" si="329"/>
        <v>0</v>
      </c>
      <c r="AM501" s="210">
        <f t="shared" si="329"/>
        <v>0</v>
      </c>
      <c r="AN501" s="210">
        <f t="shared" si="329"/>
        <v>0</v>
      </c>
      <c r="AO501" s="210">
        <f t="shared" si="329"/>
        <v>0</v>
      </c>
      <c r="AP501" s="210">
        <f t="shared" si="329"/>
        <v>0</v>
      </c>
      <c r="AQ501" s="210"/>
      <c r="AR501" s="210">
        <f t="shared" ref="AR501:BJ501" si="330">SUMIFS(AR$4:AR$494,$F$4:$F$494,"B",$G$4:$G$494,"&lt;319")+SUMIFS(AR$4:AR$494,$F$4:$F$494,"B2A",$G$4:$G$494,"&lt;319")+SUMIFS(AR$4:AR$494,$F$4:$F$494,"BKÉ",$G$4:$G$494,"&lt;319")</f>
        <v>13556649.399241464</v>
      </c>
      <c r="AS501" s="210">
        <f t="shared" si="330"/>
        <v>0</v>
      </c>
      <c r="AT501" s="210">
        <f t="shared" si="330"/>
        <v>0</v>
      </c>
      <c r="AU501" s="210">
        <f t="shared" si="330"/>
        <v>347606.39485234523</v>
      </c>
      <c r="AV501" s="210">
        <f t="shared" si="330"/>
        <v>0</v>
      </c>
      <c r="AW501" s="210">
        <f t="shared" si="330"/>
        <v>0</v>
      </c>
      <c r="AX501" s="210">
        <f t="shared" si="330"/>
        <v>0</v>
      </c>
      <c r="AY501" s="210">
        <f t="shared" si="330"/>
        <v>0</v>
      </c>
      <c r="AZ501" s="210">
        <f t="shared" si="330"/>
        <v>0</v>
      </c>
      <c r="BA501" s="210">
        <f t="shared" si="330"/>
        <v>0</v>
      </c>
      <c r="BB501" s="210">
        <f t="shared" si="330"/>
        <v>0</v>
      </c>
      <c r="BC501" s="210">
        <f t="shared" si="330"/>
        <v>3608659.0295310048</v>
      </c>
      <c r="BD501" s="210">
        <f t="shared" si="330"/>
        <v>0</v>
      </c>
      <c r="BE501" s="210">
        <f t="shared" si="330"/>
        <v>0</v>
      </c>
      <c r="BF501" s="210">
        <f t="shared" si="330"/>
        <v>616948.69508403586</v>
      </c>
      <c r="BG501" s="210">
        <f t="shared" si="330"/>
        <v>0</v>
      </c>
      <c r="BH501" s="210">
        <f t="shared" si="330"/>
        <v>0</v>
      </c>
      <c r="BI501" s="210">
        <f t="shared" si="330"/>
        <v>0</v>
      </c>
      <c r="BJ501" s="210">
        <f t="shared" si="330"/>
        <v>0</v>
      </c>
      <c r="BK501" s="210">
        <f>+SUM(N501:AA501)</f>
        <v>44972172.936175853</v>
      </c>
      <c r="BL501" s="210">
        <f>+AB501</f>
        <v>0</v>
      </c>
      <c r="BM501" s="210">
        <f>+SUM(AC501:AO501)</f>
        <v>24113316.295000002</v>
      </c>
      <c r="BN501" s="210">
        <f>+SUM(AP501:BJ501)</f>
        <v>18129863.518708851</v>
      </c>
    </row>
    <row r="502" spans="1:66" s="171" customFormat="1" ht="16.2" hidden="1" outlineLevel="1" thickBot="1" x14ac:dyDescent="0.35">
      <c r="B502" s="208" t="s">
        <v>2698</v>
      </c>
      <c r="C502" s="209" t="s">
        <v>2731</v>
      </c>
      <c r="D502" s="209" t="s">
        <v>2849</v>
      </c>
      <c r="E502" s="208" t="s">
        <v>2698</v>
      </c>
      <c r="F502" s="209" t="s">
        <v>65</v>
      </c>
      <c r="G502" s="209"/>
      <c r="H502" s="209" t="s">
        <v>2920</v>
      </c>
      <c r="I502" s="210">
        <f>SUMIF($F$4:$F497,$F502,I$4:I497)</f>
        <v>54809635.376627319</v>
      </c>
      <c r="J502" s="210">
        <f>SUMIF($F$4:$F497,$F502,J$4:J497)</f>
        <v>54809635.376627319</v>
      </c>
      <c r="K502" s="780">
        <f t="shared" si="326"/>
        <v>0</v>
      </c>
      <c r="L502" s="210">
        <f>SUMIF($F$4:$F497,$F502,L$4:L497)</f>
        <v>56159666</v>
      </c>
      <c r="M502" s="210"/>
      <c r="N502" s="210">
        <f>SUMIF($F$4:$F497,$F502,N$4:N497)</f>
        <v>3776436.2708992055</v>
      </c>
      <c r="O502" s="210">
        <f>SUMIF($F$4:$F497,$F502,O$4:O497)</f>
        <v>933451.26183186949</v>
      </c>
      <c r="P502" s="210">
        <f>SUMIF($F$4:$F497,$F502,P$4:P497)</f>
        <v>225693.61769970725</v>
      </c>
      <c r="Q502" s="210">
        <f>SUMIF($F$4:$F497,$F502,Q$4:Q497)</f>
        <v>1727721.0221585112</v>
      </c>
      <c r="R502" s="210">
        <f>SUMIF($F$4:$F497,$F502,R$4:R497)</f>
        <v>39524.830286491058</v>
      </c>
      <c r="S502" s="210">
        <f>SUMIF($F$4:$F497,$F502,S$4:S497)</f>
        <v>635616.38910915935</v>
      </c>
      <c r="T502" s="210">
        <f>SUMIF($F$4:$F497,$F502,T$4:T497)</f>
        <v>1357300.0824424927</v>
      </c>
      <c r="U502" s="210">
        <f>SUMIF($F$4:$F497,$F502,U$4:U497)</f>
        <v>2305863.4792659977</v>
      </c>
      <c r="V502" s="210">
        <f>SUMIF($F$4:$F497,$F502,V$4:V497)</f>
        <v>871540.73955667089</v>
      </c>
      <c r="W502" s="210">
        <f>SUMIF($F$4:$F497,$F502,W$4:W497)</f>
        <v>3491945.1659636134</v>
      </c>
      <c r="X502" s="210">
        <f>SUMIF($F$4:$F497,$F502,X$4:X497)</f>
        <v>24599.4191551652</v>
      </c>
      <c r="Y502" s="210">
        <f>SUMIF($F$4:$F497,$F502,Y$4:Y497)</f>
        <v>2288052.1460142201</v>
      </c>
      <c r="Z502" s="210">
        <f>SUMIF($F$4:$F497,$F502,Z$4:Z497)</f>
        <v>3944190.0264324551</v>
      </c>
      <c r="AA502" s="210">
        <f>SUMIF($F$4:$F497,$F502,AA$4:AA497)</f>
        <v>7748908</v>
      </c>
      <c r="AB502" s="210">
        <f>SUMIF($F$4:$F497,$F502,AB$4:AB497)</f>
        <v>0</v>
      </c>
      <c r="AC502" s="210">
        <f>SUMIF($F$4:$F497,$F502,AC$4:AC497)</f>
        <v>13767303</v>
      </c>
      <c r="AD502" s="210">
        <f>SUMIF($F$4:$F497,$F502,AD$4:AD497)</f>
        <v>-6908500</v>
      </c>
      <c r="AE502" s="210">
        <f>SUMIF($F$4:$F497,$F502,AE$4:AE497)</f>
        <v>-15000</v>
      </c>
      <c r="AF502" s="210">
        <f>SUMIF($F$4:$F497,$F502,AF$4:AF497)</f>
        <v>5907450.925811762</v>
      </c>
      <c r="AG502" s="210">
        <f>SUMIF($F$4:$F497,$F502,AG$4:AG497)</f>
        <v>0</v>
      </c>
      <c r="AH502" s="210">
        <f>SUMIF($F$4:$F497,$F502,AH$4:AH497)</f>
        <v>0</v>
      </c>
      <c r="AI502" s="210">
        <f>SUMIF($F$4:$F497,$F502,AI$4:AI497)</f>
        <v>0</v>
      </c>
      <c r="AJ502" s="210">
        <f>SUMIF($F$4:$F497,$F502,AJ$4:AJ497)</f>
        <v>0</v>
      </c>
      <c r="AK502" s="210">
        <f>SUMIF($F$4:$F497,$F502,AK$4:AK497)</f>
        <v>0</v>
      </c>
      <c r="AL502" s="210">
        <f>SUMIF($F$4:$F497,$F502,AL$4:AL497)</f>
        <v>0</v>
      </c>
      <c r="AM502" s="210">
        <f>SUMIF($F$4:$F497,$F502,AM$4:AM497)</f>
        <v>-21236</v>
      </c>
      <c r="AN502" s="210">
        <f>SUMIF($F$4:$F497,$F502,AN$4:AN497)</f>
        <v>1540564</v>
      </c>
      <c r="AO502" s="210">
        <f>SUMIF($F$4:$F497,$F502,AO$4:AO497)</f>
        <v>11168211</v>
      </c>
      <c r="AP502" s="210">
        <f>SUMIF($F$4:$F497,$F502,AP$4:AP497)</f>
        <v>0</v>
      </c>
      <c r="AQ502" s="210"/>
      <c r="AR502" s="210">
        <f>SUMIF($F$4:$F497,$F502,AR$4:AR497)</f>
        <v>-329069.96444709058</v>
      </c>
      <c r="AS502" s="210">
        <f>SUMIF($F$4:$F497,$F502,AS$4:AS497)</f>
        <v>0</v>
      </c>
      <c r="AT502" s="210">
        <f>SUMIF($F$4:$F497,$F502,AT$4:AT497)</f>
        <v>0</v>
      </c>
      <c r="AU502" s="210">
        <f>SUMIF($F$4:$F497,$F502,AU$4:AU497)</f>
        <v>-8437.6913960792463</v>
      </c>
      <c r="AV502" s="210">
        <f>SUMIF($F$4:$F497,$F502,AV$4:AV497)</f>
        <v>0</v>
      </c>
      <c r="AW502" s="210">
        <f>SUMIF($F$4:$F497,$F502,AW$4:AW497)</f>
        <v>0</v>
      </c>
      <c r="AX502" s="210">
        <f>SUMIF($F$4:$F497,$F502,AX$4:AX497)</f>
        <v>0</v>
      </c>
      <c r="AY502" s="210">
        <f>SUMIF($F$4:$F497,$F502,AY$4:AY497)</f>
        <v>0</v>
      </c>
      <c r="AZ502" s="210">
        <f>SUMIF($F$4:$F497,$F502,AZ$4:AZ497)</f>
        <v>0</v>
      </c>
      <c r="BA502" s="210">
        <f>SUMIF($F$4:$F497,$F502,BA$4:BA497)</f>
        <v>0</v>
      </c>
      <c r="BB502" s="210">
        <f>SUMIF($F$4:$F497,$F502,BB$4:BB497)</f>
        <v>0</v>
      </c>
      <c r="BC502" s="210">
        <f>SUMIF($F$4:$F497,$F502,BC$4:BC497)</f>
        <v>0</v>
      </c>
      <c r="BD502" s="210">
        <f>SUMIF($F$4:$F497,$F502,BD$4:BD497)</f>
        <v>0</v>
      </c>
      <c r="BE502" s="210">
        <f>SUMIF($F$4:$F497,$F502,BE$4:BE497)</f>
        <v>0</v>
      </c>
      <c r="BF502" s="210">
        <f>SUMIF($F$4:$F497,$F502,BF$4:BF497)</f>
        <v>0</v>
      </c>
      <c r="BG502" s="210">
        <f>SUMIF($F$4:$F497,$F502,BG$4:BG497)</f>
        <v>1687538.279215849</v>
      </c>
      <c r="BH502" s="210">
        <f>SUMIF($F$4:$F497,$F502,BH$4:BH497)</f>
        <v>0</v>
      </c>
      <c r="BI502" s="210">
        <f>SUMIF($F$4:$F497,$F502,BI$4:BI497)</f>
        <v>0</v>
      </c>
      <c r="BJ502" s="210">
        <f>SUMIF($F$4:$F497,$F502,BJ$4:BJ497)</f>
        <v>0</v>
      </c>
      <c r="BK502" s="210">
        <f>+SUM(N502:AA502)</f>
        <v>29370842.450815558</v>
      </c>
      <c r="BL502" s="210">
        <f>+AB502</f>
        <v>0</v>
      </c>
      <c r="BM502" s="210">
        <f>+SUM(AC502:AO502)</f>
        <v>25438792.92581176</v>
      </c>
      <c r="BN502" s="210">
        <f>+SUM(AP502:BJ502)</f>
        <v>1350030.6233726791</v>
      </c>
    </row>
    <row r="503" spans="1:66" s="171" customFormat="1" ht="16.2" hidden="1" outlineLevel="1" thickBot="1" x14ac:dyDescent="0.35">
      <c r="B503" s="211" t="s">
        <v>3578</v>
      </c>
      <c r="C503" s="212" t="s">
        <v>2731</v>
      </c>
      <c r="D503" s="212" t="s">
        <v>2851</v>
      </c>
      <c r="E503" s="211" t="s">
        <v>3578</v>
      </c>
      <c r="F503" s="212"/>
      <c r="G503" s="212"/>
      <c r="H503" s="212"/>
      <c r="I503" s="213">
        <f>+I499+I502</f>
        <v>810318085.51478493</v>
      </c>
      <c r="J503" s="213">
        <f>+J499+J502</f>
        <v>810318081.12094378</v>
      </c>
      <c r="K503" s="781">
        <f t="shared" si="326"/>
        <v>4.3938411474227905</v>
      </c>
      <c r="L503" s="213">
        <f t="shared" ref="L503:BB503" si="331">+L499+L502</f>
        <v>1248846205.0350528</v>
      </c>
      <c r="M503" s="213"/>
      <c r="N503" s="213">
        <f t="shared" si="331"/>
        <v>107403549.51127827</v>
      </c>
      <c r="O503" s="213">
        <f t="shared" ref="O503:Z503" si="332">+O499+O502</f>
        <v>29327862.498701751</v>
      </c>
      <c r="P503" s="213">
        <f t="shared" si="332"/>
        <v>6404728.6516508339</v>
      </c>
      <c r="Q503" s="213">
        <f t="shared" si="332"/>
        <v>38682277.102794357</v>
      </c>
      <c r="R503" s="213">
        <f t="shared" si="332"/>
        <v>14951620.665268073</v>
      </c>
      <c r="S503" s="213">
        <f t="shared" si="332"/>
        <v>38271641.632650636</v>
      </c>
      <c r="T503" s="213">
        <f t="shared" si="332"/>
        <v>17328586.601880133</v>
      </c>
      <c r="U503" s="213">
        <f t="shared" si="332"/>
        <v>46835755.588841237</v>
      </c>
      <c r="V503" s="213">
        <f t="shared" si="332"/>
        <v>55518735.074563988</v>
      </c>
      <c r="W503" s="213">
        <f t="shared" si="332"/>
        <v>38788253.969941862</v>
      </c>
      <c r="X503" s="213">
        <f t="shared" si="332"/>
        <v>19923748.887841638</v>
      </c>
      <c r="Y503" s="213">
        <f t="shared" si="332"/>
        <v>62005400.816963501</v>
      </c>
      <c r="Z503" s="213">
        <f t="shared" si="332"/>
        <v>26486857.447515849</v>
      </c>
      <c r="AA503" s="213">
        <f t="shared" si="331"/>
        <v>59041998.938862085</v>
      </c>
      <c r="AB503" s="213">
        <f t="shared" si="331"/>
        <v>0</v>
      </c>
      <c r="AC503" s="213">
        <f t="shared" si="331"/>
        <v>18252393.050594322</v>
      </c>
      <c r="AD503" s="213">
        <f t="shared" si="331"/>
        <v>-2983500</v>
      </c>
      <c r="AE503" s="213">
        <f t="shared" si="331"/>
        <v>-15000</v>
      </c>
      <c r="AF503" s="213">
        <f t="shared" ref="AF503" si="333">+AF499+AF502</f>
        <v>20886890.681595221</v>
      </c>
      <c r="AG503" s="213">
        <f t="shared" ref="AG503" si="334">+AG499+AG502</f>
        <v>23305125</v>
      </c>
      <c r="AH503" s="213">
        <f t="shared" si="331"/>
        <v>0</v>
      </c>
      <c r="AI503" s="213">
        <f t="shared" si="331"/>
        <v>0</v>
      </c>
      <c r="AJ503" s="213">
        <f t="shared" si="331"/>
        <v>0</v>
      </c>
      <c r="AK503" s="213">
        <f t="shared" si="331"/>
        <v>0</v>
      </c>
      <c r="AL503" s="213">
        <f t="shared" si="331"/>
        <v>0</v>
      </c>
      <c r="AM503" s="213">
        <f t="shared" ref="AM503:AN503" si="335">+AM499+AM502</f>
        <v>701969</v>
      </c>
      <c r="AN503" s="213">
        <f t="shared" si="335"/>
        <v>19731182</v>
      </c>
      <c r="AO503" s="213">
        <f t="shared" si="331"/>
        <v>169468004</v>
      </c>
      <c r="AP503" s="213">
        <f t="shared" si="331"/>
        <v>1268176</v>
      </c>
      <c r="AQ503" s="213"/>
      <c r="AR503" s="213">
        <f t="shared" si="331"/>
        <v>194403644.63074037</v>
      </c>
      <c r="AS503" s="213">
        <f t="shared" si="331"/>
        <v>42158065</v>
      </c>
      <c r="AT503" s="213">
        <f t="shared" si="331"/>
        <v>95377.41</v>
      </c>
      <c r="AU503" s="213">
        <f t="shared" si="331"/>
        <v>4984708.8366856501</v>
      </c>
      <c r="AV503" s="213">
        <f t="shared" si="331"/>
        <v>0</v>
      </c>
      <c r="AW503" s="213">
        <f t="shared" si="331"/>
        <v>0</v>
      </c>
      <c r="AX503" s="213">
        <f t="shared" si="331"/>
        <v>0</v>
      </c>
      <c r="AY503" s="213">
        <f t="shared" si="331"/>
        <v>0</v>
      </c>
      <c r="AZ503" s="213">
        <f t="shared" si="331"/>
        <v>0</v>
      </c>
      <c r="BA503" s="213">
        <f t="shared" si="331"/>
        <v>0</v>
      </c>
      <c r="BB503" s="213">
        <f t="shared" si="331"/>
        <v>6979623.5999999996</v>
      </c>
      <c r="BC503" s="213">
        <f t="shared" ref="BC503:BI503" si="336">+BC499+BC502</f>
        <v>3608659.0295310048</v>
      </c>
      <c r="BD503" s="213">
        <f t="shared" si="336"/>
        <v>192941373.97187892</v>
      </c>
      <c r="BE503" s="213">
        <f t="shared" si="336"/>
        <v>-3179246.5390269402</v>
      </c>
      <c r="BF503" s="213">
        <f t="shared" si="336"/>
        <v>616948.69508403586</v>
      </c>
      <c r="BG503" s="213">
        <f t="shared" si="336"/>
        <v>1687538.279215849</v>
      </c>
      <c r="BH503" s="213">
        <f t="shared" si="336"/>
        <v>9644473</v>
      </c>
      <c r="BI503" s="213">
        <f t="shared" si="336"/>
        <v>0</v>
      </c>
      <c r="BJ503" s="213">
        <f>+BJ499+BJ502</f>
        <v>0</v>
      </c>
      <c r="BK503" s="213">
        <f t="shared" ref="BK503:BN503" si="337">+BK499+BK502</f>
        <v>560971017.38875413</v>
      </c>
      <c r="BL503" s="213">
        <f t="shared" si="337"/>
        <v>0</v>
      </c>
      <c r="BM503" s="213">
        <f t="shared" si="337"/>
        <v>249347063.73218954</v>
      </c>
      <c r="BN503" s="213">
        <f t="shared" si="337"/>
        <v>455209341.91410887</v>
      </c>
    </row>
    <row r="504" spans="1:66" s="171" customFormat="1" hidden="1" outlineLevel="1" x14ac:dyDescent="0.3">
      <c r="B504" s="214" t="s">
        <v>2688</v>
      </c>
      <c r="C504" s="215" t="s">
        <v>2731</v>
      </c>
      <c r="D504" s="215"/>
      <c r="E504" s="214" t="s">
        <v>2688</v>
      </c>
      <c r="F504" s="215" t="s">
        <v>2695</v>
      </c>
      <c r="G504" s="215"/>
      <c r="H504" s="215" t="s">
        <v>2920</v>
      </c>
      <c r="I504" s="216">
        <f t="shared" ref="I504:L506" si="338">SUMIF($F$4:$F$497,$F504,I$4:I$497)</f>
        <v>860031029.38881552</v>
      </c>
      <c r="J504" s="216">
        <f t="shared" si="338"/>
        <v>860031029.29000008</v>
      </c>
      <c r="K504" s="216">
        <f t="shared" si="338"/>
        <v>9.8815394565463066E-2</v>
      </c>
      <c r="L504" s="216">
        <f t="shared" si="338"/>
        <v>860031029.29000008</v>
      </c>
      <c r="M504" s="216"/>
      <c r="N504" s="216">
        <f t="shared" ref="N504:W506" si="339">SUMIF($F$4:$F$497,$F504,N$4:N$497)</f>
        <v>88701408.040000007</v>
      </c>
      <c r="O504" s="216">
        <f t="shared" si="339"/>
        <v>73612897.350000009</v>
      </c>
      <c r="P504" s="216">
        <f t="shared" si="339"/>
        <v>12399060.720000001</v>
      </c>
      <c r="Q504" s="216">
        <f t="shared" si="339"/>
        <v>66274586.670000002</v>
      </c>
      <c r="R504" s="216">
        <f t="shared" si="339"/>
        <v>25499665.439999998</v>
      </c>
      <c r="S504" s="216">
        <f t="shared" si="339"/>
        <v>46288301.699999996</v>
      </c>
      <c r="T504" s="216">
        <f t="shared" si="339"/>
        <v>18973373.550000001</v>
      </c>
      <c r="U504" s="216">
        <f t="shared" si="339"/>
        <v>39274452.780000001</v>
      </c>
      <c r="V504" s="216">
        <f t="shared" si="339"/>
        <v>60617930.239999995</v>
      </c>
      <c r="W504" s="216">
        <f t="shared" si="339"/>
        <v>33043502.440000001</v>
      </c>
      <c r="X504" s="216">
        <f t="shared" ref="X504:AG506" si="340">SUMIF($F$4:$F$497,$F504,X$4:X$497)</f>
        <v>14389348.720000001</v>
      </c>
      <c r="Y504" s="216">
        <f t="shared" si="340"/>
        <v>51222656.490000002</v>
      </c>
      <c r="Z504" s="216">
        <f t="shared" si="340"/>
        <v>34027360.149999999</v>
      </c>
      <c r="AA504" s="216">
        <f t="shared" si="340"/>
        <v>59041998.660000004</v>
      </c>
      <c r="AB504" s="216">
        <f t="shared" si="340"/>
        <v>0</v>
      </c>
      <c r="AC504" s="216">
        <f t="shared" si="340"/>
        <v>11458202.49</v>
      </c>
      <c r="AD504" s="216">
        <f t="shared" si="340"/>
        <v>0</v>
      </c>
      <c r="AE504" s="216">
        <f t="shared" si="340"/>
        <v>0</v>
      </c>
      <c r="AF504" s="216">
        <f t="shared" si="340"/>
        <v>11999999.41</v>
      </c>
      <c r="AG504" s="216">
        <f t="shared" si="340"/>
        <v>23305125.440000001</v>
      </c>
      <c r="AH504" s="216">
        <f t="shared" ref="AH504:AP506" si="341">SUMIF($F$4:$F$497,$F504,AH$4:AH$497)</f>
        <v>0</v>
      </c>
      <c r="AI504" s="216">
        <f t="shared" si="341"/>
        <v>0</v>
      </c>
      <c r="AJ504" s="216">
        <f t="shared" si="341"/>
        <v>0</v>
      </c>
      <c r="AK504" s="216">
        <f t="shared" si="341"/>
        <v>0</v>
      </c>
      <c r="AL504" s="216">
        <f t="shared" si="341"/>
        <v>0</v>
      </c>
      <c r="AM504" s="216">
        <f t="shared" si="341"/>
        <v>701969</v>
      </c>
      <c r="AN504" s="216">
        <f t="shared" si="341"/>
        <v>19731182</v>
      </c>
      <c r="AO504" s="216">
        <f t="shared" si="341"/>
        <v>169468008</v>
      </c>
      <c r="AP504" s="216">
        <f t="shared" si="341"/>
        <v>0</v>
      </c>
      <c r="AQ504" s="216"/>
      <c r="AR504" s="216">
        <f t="shared" ref="AR504:BA506" si="342">SUMIF($F$4:$F$497,$F504,AR$4:AR$497)</f>
        <v>0</v>
      </c>
      <c r="AS504" s="216">
        <f t="shared" si="342"/>
        <v>0</v>
      </c>
      <c r="AT504" s="216">
        <f t="shared" si="342"/>
        <v>0</v>
      </c>
      <c r="AU504" s="216">
        <f t="shared" si="342"/>
        <v>0</v>
      </c>
      <c r="AV504" s="216">
        <f t="shared" si="342"/>
        <v>0</v>
      </c>
      <c r="AW504" s="216">
        <f t="shared" si="342"/>
        <v>0</v>
      </c>
      <c r="AX504" s="216">
        <f t="shared" si="342"/>
        <v>0</v>
      </c>
      <c r="AY504" s="216">
        <f t="shared" si="342"/>
        <v>0</v>
      </c>
      <c r="AZ504" s="216">
        <f t="shared" si="342"/>
        <v>0</v>
      </c>
      <c r="BA504" s="216">
        <f t="shared" si="342"/>
        <v>0</v>
      </c>
      <c r="BB504" s="216">
        <f t="shared" ref="BB504:BJ506" si="343">SUMIF($F$4:$F$497,$F504,BB$4:BB$497)</f>
        <v>0</v>
      </c>
      <c r="BC504" s="216">
        <f t="shared" si="343"/>
        <v>0</v>
      </c>
      <c r="BD504" s="216">
        <f t="shared" si="343"/>
        <v>0</v>
      </c>
      <c r="BE504" s="216">
        <f t="shared" si="343"/>
        <v>0</v>
      </c>
      <c r="BF504" s="216">
        <f t="shared" si="343"/>
        <v>0</v>
      </c>
      <c r="BG504" s="216">
        <f t="shared" si="343"/>
        <v>0</v>
      </c>
      <c r="BH504" s="216">
        <f t="shared" si="343"/>
        <v>0</v>
      </c>
      <c r="BI504" s="216">
        <f t="shared" si="343"/>
        <v>0</v>
      </c>
      <c r="BJ504" s="216">
        <f t="shared" si="343"/>
        <v>0</v>
      </c>
      <c r="BK504" s="216">
        <f>+SUM(N504:AA504)</f>
        <v>623366542.95000005</v>
      </c>
      <c r="BL504" s="216">
        <f>+AB504</f>
        <v>0</v>
      </c>
      <c r="BM504" s="216">
        <f>+SUM(AC504:AO504)</f>
        <v>236664486.34</v>
      </c>
      <c r="BN504" s="216">
        <f>+SUM(AP504:BJ504)</f>
        <v>0</v>
      </c>
    </row>
    <row r="505" spans="1:66" s="171" customFormat="1" hidden="1" outlineLevel="1" x14ac:dyDescent="0.3">
      <c r="B505" s="217" t="s">
        <v>3579</v>
      </c>
      <c r="C505" s="218" t="s">
        <v>2731</v>
      </c>
      <c r="D505" s="218" t="s">
        <v>2852</v>
      </c>
      <c r="E505" s="217" t="s">
        <v>3579</v>
      </c>
      <c r="F505" s="218" t="s">
        <v>64</v>
      </c>
      <c r="G505" s="218"/>
      <c r="H505" s="218" t="s">
        <v>2920</v>
      </c>
      <c r="I505" s="219">
        <f t="shared" si="338"/>
        <v>813021689.96327913</v>
      </c>
      <c r="J505" s="219">
        <f t="shared" si="338"/>
        <v>813021689.28999996</v>
      </c>
      <c r="K505" s="219">
        <f t="shared" si="338"/>
        <v>0.67327915923669934</v>
      </c>
      <c r="L505" s="219">
        <f t="shared" si="338"/>
        <v>813021689.28999996</v>
      </c>
      <c r="M505" s="219"/>
      <c r="N505" s="219">
        <f t="shared" si="339"/>
        <v>88701411.040000007</v>
      </c>
      <c r="O505" s="219">
        <f t="shared" si="339"/>
        <v>72679446.350000009</v>
      </c>
      <c r="P505" s="219">
        <f t="shared" si="339"/>
        <v>12173366.720000001</v>
      </c>
      <c r="Q505" s="219">
        <f t="shared" si="339"/>
        <v>64546865.670000002</v>
      </c>
      <c r="R505" s="219">
        <f t="shared" si="339"/>
        <v>25460140.439999998</v>
      </c>
      <c r="S505" s="219">
        <f t="shared" si="339"/>
        <v>45652685.699999996</v>
      </c>
      <c r="T505" s="219">
        <f t="shared" si="339"/>
        <v>17616073.550000001</v>
      </c>
      <c r="U505" s="219">
        <f t="shared" si="339"/>
        <v>39274452.780000001</v>
      </c>
      <c r="V505" s="219">
        <f t="shared" si="339"/>
        <v>59746389.239999995</v>
      </c>
      <c r="W505" s="219">
        <f t="shared" si="339"/>
        <v>33043502.440000001</v>
      </c>
      <c r="X505" s="219">
        <f t="shared" si="340"/>
        <v>14389348.720000001</v>
      </c>
      <c r="Y505" s="219">
        <f t="shared" si="340"/>
        <v>51222656.490000002</v>
      </c>
      <c r="Z505" s="219">
        <f t="shared" si="340"/>
        <v>30083170.149999999</v>
      </c>
      <c r="AA505" s="219">
        <f t="shared" si="340"/>
        <v>51293090.660000004</v>
      </c>
      <c r="AB505" s="219">
        <f t="shared" si="340"/>
        <v>0</v>
      </c>
      <c r="AC505" s="219">
        <f t="shared" si="340"/>
        <v>527795.49</v>
      </c>
      <c r="AD505" s="219">
        <f t="shared" si="340"/>
        <v>0</v>
      </c>
      <c r="AE505" s="219">
        <f t="shared" si="340"/>
        <v>0</v>
      </c>
      <c r="AF505" s="219">
        <f t="shared" si="340"/>
        <v>6092548.4099999992</v>
      </c>
      <c r="AG505" s="219">
        <f t="shared" si="340"/>
        <v>23305125.440000001</v>
      </c>
      <c r="AH505" s="219">
        <f t="shared" si="341"/>
        <v>0</v>
      </c>
      <c r="AI505" s="219">
        <f t="shared" si="341"/>
        <v>0</v>
      </c>
      <c r="AJ505" s="219">
        <f t="shared" si="341"/>
        <v>0</v>
      </c>
      <c r="AK505" s="219">
        <f t="shared" si="341"/>
        <v>0</v>
      </c>
      <c r="AL505" s="219">
        <f t="shared" si="341"/>
        <v>0</v>
      </c>
      <c r="AM505" s="219">
        <f t="shared" si="341"/>
        <v>723205</v>
      </c>
      <c r="AN505" s="219">
        <f t="shared" si="341"/>
        <v>18190618</v>
      </c>
      <c r="AO505" s="219">
        <f t="shared" si="341"/>
        <v>158299797</v>
      </c>
      <c r="AP505" s="219">
        <f t="shared" si="341"/>
        <v>0</v>
      </c>
      <c r="AQ505" s="219"/>
      <c r="AR505" s="219">
        <f t="shared" si="342"/>
        <v>0</v>
      </c>
      <c r="AS505" s="219">
        <f t="shared" si="342"/>
        <v>0</v>
      </c>
      <c r="AT505" s="219">
        <f t="shared" si="342"/>
        <v>0</v>
      </c>
      <c r="AU505" s="219">
        <f t="shared" si="342"/>
        <v>0</v>
      </c>
      <c r="AV505" s="219">
        <f t="shared" si="342"/>
        <v>0</v>
      </c>
      <c r="AW505" s="219">
        <f t="shared" si="342"/>
        <v>0</v>
      </c>
      <c r="AX505" s="219">
        <f t="shared" si="342"/>
        <v>0</v>
      </c>
      <c r="AY505" s="219">
        <f t="shared" si="342"/>
        <v>0</v>
      </c>
      <c r="AZ505" s="219">
        <f t="shared" si="342"/>
        <v>0</v>
      </c>
      <c r="BA505" s="219">
        <f t="shared" si="342"/>
        <v>0</v>
      </c>
      <c r="BB505" s="219">
        <f t="shared" si="343"/>
        <v>0</v>
      </c>
      <c r="BC505" s="219">
        <f t="shared" si="343"/>
        <v>0</v>
      </c>
      <c r="BD505" s="219">
        <f t="shared" si="343"/>
        <v>0</v>
      </c>
      <c r="BE505" s="219">
        <f t="shared" si="343"/>
        <v>0</v>
      </c>
      <c r="BF505" s="219">
        <f t="shared" si="343"/>
        <v>0</v>
      </c>
      <c r="BG505" s="219">
        <f t="shared" si="343"/>
        <v>0</v>
      </c>
      <c r="BH505" s="219">
        <f t="shared" si="343"/>
        <v>0</v>
      </c>
      <c r="BI505" s="219">
        <f t="shared" si="343"/>
        <v>0</v>
      </c>
      <c r="BJ505" s="219">
        <f t="shared" si="343"/>
        <v>0</v>
      </c>
      <c r="BK505" s="219">
        <f>+SUM(N505:AA505)</f>
        <v>605882599.95000005</v>
      </c>
      <c r="BL505" s="219">
        <f>+AB505</f>
        <v>0</v>
      </c>
      <c r="BM505" s="219">
        <f>+SUM(AC505:AO505)</f>
        <v>207139089.34</v>
      </c>
      <c r="BN505" s="219">
        <f>+SUM(AP505:BJ505)</f>
        <v>0</v>
      </c>
    </row>
    <row r="506" spans="1:66" s="171" customFormat="1" ht="16.2" hidden="1" outlineLevel="1" thickBot="1" x14ac:dyDescent="0.35">
      <c r="B506" s="217" t="s">
        <v>2708</v>
      </c>
      <c r="C506" s="218" t="s">
        <v>2731</v>
      </c>
      <c r="D506" s="218" t="s">
        <v>2850</v>
      </c>
      <c r="E506" s="217" t="s">
        <v>2708</v>
      </c>
      <c r="F506" s="218" t="s">
        <v>66</v>
      </c>
      <c r="G506" s="218"/>
      <c r="H506" s="218" t="s">
        <v>2920</v>
      </c>
      <c r="I506" s="219">
        <f>SUMIF($F$4:$F$497,$F506,I$4:I$497)</f>
        <v>47009342.999999985</v>
      </c>
      <c r="J506" s="219">
        <f t="shared" si="338"/>
        <v>47009343</v>
      </c>
      <c r="K506" s="219">
        <f t="shared" si="338"/>
        <v>-1.4901161193847656E-8</v>
      </c>
      <c r="L506" s="219">
        <f t="shared" si="338"/>
        <v>47009343</v>
      </c>
      <c r="M506" s="219"/>
      <c r="N506" s="219">
        <f t="shared" si="339"/>
        <v>0</v>
      </c>
      <c r="O506" s="219">
        <f t="shared" si="339"/>
        <v>933451</v>
      </c>
      <c r="P506" s="219">
        <f t="shared" si="339"/>
        <v>225694</v>
      </c>
      <c r="Q506" s="219">
        <f t="shared" si="339"/>
        <v>1727721</v>
      </c>
      <c r="R506" s="219">
        <f t="shared" si="339"/>
        <v>39525</v>
      </c>
      <c r="S506" s="219">
        <f t="shared" si="339"/>
        <v>635616</v>
      </c>
      <c r="T506" s="219">
        <f t="shared" si="339"/>
        <v>1357300</v>
      </c>
      <c r="U506" s="219">
        <f t="shared" si="339"/>
        <v>0</v>
      </c>
      <c r="V506" s="219">
        <f t="shared" si="339"/>
        <v>871541</v>
      </c>
      <c r="W506" s="219">
        <f t="shared" si="339"/>
        <v>0</v>
      </c>
      <c r="X506" s="219">
        <f t="shared" si="340"/>
        <v>0</v>
      </c>
      <c r="Y506" s="219">
        <f t="shared" si="340"/>
        <v>0</v>
      </c>
      <c r="Z506" s="219">
        <f t="shared" si="340"/>
        <v>3944190</v>
      </c>
      <c r="AA506" s="219">
        <f t="shared" si="340"/>
        <v>7748908</v>
      </c>
      <c r="AB506" s="219">
        <f t="shared" si="340"/>
        <v>0</v>
      </c>
      <c r="AC506" s="219">
        <f t="shared" si="340"/>
        <v>10930407</v>
      </c>
      <c r="AD506" s="219">
        <f t="shared" si="340"/>
        <v>0</v>
      </c>
      <c r="AE506" s="219">
        <f t="shared" si="340"/>
        <v>0</v>
      </c>
      <c r="AF506" s="219">
        <f t="shared" si="340"/>
        <v>5907451</v>
      </c>
      <c r="AG506" s="219">
        <f t="shared" si="340"/>
        <v>0</v>
      </c>
      <c r="AH506" s="219">
        <f t="shared" si="341"/>
        <v>0</v>
      </c>
      <c r="AI506" s="219">
        <f t="shared" si="341"/>
        <v>0</v>
      </c>
      <c r="AJ506" s="219">
        <f t="shared" si="341"/>
        <v>0</v>
      </c>
      <c r="AK506" s="219">
        <f t="shared" si="341"/>
        <v>0</v>
      </c>
      <c r="AL506" s="219">
        <f t="shared" si="341"/>
        <v>0</v>
      </c>
      <c r="AM506" s="219">
        <f t="shared" si="341"/>
        <v>-21236</v>
      </c>
      <c r="AN506" s="219">
        <f t="shared" si="341"/>
        <v>1540564</v>
      </c>
      <c r="AO506" s="219">
        <f t="shared" si="341"/>
        <v>11168211</v>
      </c>
      <c r="AP506" s="219">
        <f t="shared" si="341"/>
        <v>0</v>
      </c>
      <c r="AQ506" s="219"/>
      <c r="AR506" s="219">
        <f t="shared" si="342"/>
        <v>0</v>
      </c>
      <c r="AS506" s="219">
        <f t="shared" si="342"/>
        <v>0</v>
      </c>
      <c r="AT506" s="219">
        <f t="shared" si="342"/>
        <v>0</v>
      </c>
      <c r="AU506" s="219">
        <f t="shared" si="342"/>
        <v>0</v>
      </c>
      <c r="AV506" s="219">
        <f t="shared" si="342"/>
        <v>0</v>
      </c>
      <c r="AW506" s="219">
        <f t="shared" si="342"/>
        <v>0</v>
      </c>
      <c r="AX506" s="219">
        <f t="shared" si="342"/>
        <v>0</v>
      </c>
      <c r="AY506" s="219">
        <f t="shared" si="342"/>
        <v>0</v>
      </c>
      <c r="AZ506" s="219">
        <f t="shared" si="342"/>
        <v>0</v>
      </c>
      <c r="BA506" s="219">
        <f t="shared" si="342"/>
        <v>0</v>
      </c>
      <c r="BB506" s="219">
        <f t="shared" si="343"/>
        <v>0</v>
      </c>
      <c r="BC506" s="219">
        <f t="shared" si="343"/>
        <v>0</v>
      </c>
      <c r="BD506" s="219">
        <f t="shared" si="343"/>
        <v>0</v>
      </c>
      <c r="BE506" s="219">
        <f t="shared" si="343"/>
        <v>0</v>
      </c>
      <c r="BF506" s="219">
        <f t="shared" si="343"/>
        <v>0</v>
      </c>
      <c r="BG506" s="219">
        <f t="shared" si="343"/>
        <v>0</v>
      </c>
      <c r="BH506" s="219">
        <f t="shared" si="343"/>
        <v>0</v>
      </c>
      <c r="BI506" s="219">
        <f t="shared" si="343"/>
        <v>0</v>
      </c>
      <c r="BJ506" s="219">
        <f t="shared" si="343"/>
        <v>0</v>
      </c>
      <c r="BK506" s="219">
        <f>+SUM(N506:AA506)</f>
        <v>17483946</v>
      </c>
      <c r="BL506" s="219">
        <f>+AB506</f>
        <v>0</v>
      </c>
      <c r="BM506" s="219">
        <f>+SUM(AC506:AO506)</f>
        <v>29525397</v>
      </c>
      <c r="BN506" s="219">
        <f>+SUM(AP506:BJ506)</f>
        <v>0</v>
      </c>
    </row>
    <row r="507" spans="1:66" s="171" customFormat="1" ht="16.2" hidden="1" outlineLevel="1" thickBot="1" x14ac:dyDescent="0.35">
      <c r="B507" s="220" t="s">
        <v>2709</v>
      </c>
      <c r="C507" s="221" t="s">
        <v>2731</v>
      </c>
      <c r="D507" s="221" t="s">
        <v>2853</v>
      </c>
      <c r="E507" s="220" t="s">
        <v>2709</v>
      </c>
      <c r="F507" s="221"/>
      <c r="G507" s="221"/>
      <c r="H507" s="221" t="s">
        <v>2920</v>
      </c>
      <c r="I507" s="222">
        <f>SUM(I505:I506)</f>
        <v>860031032.96327913</v>
      </c>
      <c r="J507" s="222">
        <f t="shared" ref="J507:BB507" si="344">SUM(J505:J506)</f>
        <v>860031032.28999996</v>
      </c>
      <c r="K507" s="222">
        <f t="shared" si="344"/>
        <v>0.67327914433553815</v>
      </c>
      <c r="L507" s="222">
        <f t="shared" si="344"/>
        <v>860031032.28999996</v>
      </c>
      <c r="M507" s="222"/>
      <c r="N507" s="222">
        <f t="shared" si="344"/>
        <v>88701411.040000007</v>
      </c>
      <c r="O507" s="222">
        <f t="shared" ref="O507:Z507" si="345">SUM(O505:O506)</f>
        <v>73612897.350000009</v>
      </c>
      <c r="P507" s="222">
        <f t="shared" si="345"/>
        <v>12399060.720000001</v>
      </c>
      <c r="Q507" s="222">
        <f t="shared" si="345"/>
        <v>66274586.670000002</v>
      </c>
      <c r="R507" s="222">
        <f t="shared" si="345"/>
        <v>25499665.439999998</v>
      </c>
      <c r="S507" s="222">
        <f t="shared" si="345"/>
        <v>46288301.699999996</v>
      </c>
      <c r="T507" s="222">
        <f t="shared" si="345"/>
        <v>18973373.550000001</v>
      </c>
      <c r="U507" s="222">
        <f t="shared" si="345"/>
        <v>39274452.780000001</v>
      </c>
      <c r="V507" s="222">
        <f t="shared" si="345"/>
        <v>60617930.239999995</v>
      </c>
      <c r="W507" s="222">
        <f t="shared" si="345"/>
        <v>33043502.440000001</v>
      </c>
      <c r="X507" s="222">
        <f t="shared" si="345"/>
        <v>14389348.720000001</v>
      </c>
      <c r="Y507" s="222">
        <f t="shared" si="345"/>
        <v>51222656.490000002</v>
      </c>
      <c r="Z507" s="222">
        <f t="shared" si="345"/>
        <v>34027360.149999999</v>
      </c>
      <c r="AA507" s="222">
        <f t="shared" si="344"/>
        <v>59041998.660000004</v>
      </c>
      <c r="AB507" s="222">
        <f t="shared" si="344"/>
        <v>0</v>
      </c>
      <c r="AC507" s="222">
        <f t="shared" si="344"/>
        <v>11458202.49</v>
      </c>
      <c r="AD507" s="222">
        <f t="shared" si="344"/>
        <v>0</v>
      </c>
      <c r="AE507" s="222">
        <f t="shared" si="344"/>
        <v>0</v>
      </c>
      <c r="AF507" s="222">
        <f t="shared" ref="AF507" si="346">SUM(AF505:AF506)</f>
        <v>11999999.41</v>
      </c>
      <c r="AG507" s="222">
        <f t="shared" ref="AG507" si="347">SUM(AG505:AG506)</f>
        <v>23305125.440000001</v>
      </c>
      <c r="AH507" s="222">
        <f t="shared" si="344"/>
        <v>0</v>
      </c>
      <c r="AI507" s="222">
        <f t="shared" si="344"/>
        <v>0</v>
      </c>
      <c r="AJ507" s="222">
        <f t="shared" si="344"/>
        <v>0</v>
      </c>
      <c r="AK507" s="222">
        <f t="shared" si="344"/>
        <v>0</v>
      </c>
      <c r="AL507" s="222">
        <f t="shared" si="344"/>
        <v>0</v>
      </c>
      <c r="AM507" s="222">
        <f t="shared" ref="AM507:AN507" si="348">SUM(AM505:AM506)</f>
        <v>701969</v>
      </c>
      <c r="AN507" s="222">
        <f t="shared" si="348"/>
        <v>19731182</v>
      </c>
      <c r="AO507" s="222">
        <f t="shared" si="344"/>
        <v>169468008</v>
      </c>
      <c r="AP507" s="222">
        <f t="shared" si="344"/>
        <v>0</v>
      </c>
      <c r="AQ507" s="222"/>
      <c r="AR507" s="222">
        <f t="shared" si="344"/>
        <v>0</v>
      </c>
      <c r="AS507" s="222">
        <f t="shared" si="344"/>
        <v>0</v>
      </c>
      <c r="AT507" s="222">
        <f t="shared" si="344"/>
        <v>0</v>
      </c>
      <c r="AU507" s="222">
        <f t="shared" si="344"/>
        <v>0</v>
      </c>
      <c r="AV507" s="222">
        <f t="shared" si="344"/>
        <v>0</v>
      </c>
      <c r="AW507" s="222">
        <f t="shared" si="344"/>
        <v>0</v>
      </c>
      <c r="AX507" s="222">
        <f t="shared" si="344"/>
        <v>0</v>
      </c>
      <c r="AY507" s="222">
        <f t="shared" si="344"/>
        <v>0</v>
      </c>
      <c r="AZ507" s="222">
        <f t="shared" si="344"/>
        <v>0</v>
      </c>
      <c r="BA507" s="222">
        <f t="shared" si="344"/>
        <v>0</v>
      </c>
      <c r="BB507" s="222">
        <f t="shared" si="344"/>
        <v>0</v>
      </c>
      <c r="BC507" s="222">
        <f t="shared" ref="BC507:BI507" si="349">SUM(BC505:BC506)</f>
        <v>0</v>
      </c>
      <c r="BD507" s="222">
        <f t="shared" si="349"/>
        <v>0</v>
      </c>
      <c r="BE507" s="222">
        <f t="shared" si="349"/>
        <v>0</v>
      </c>
      <c r="BF507" s="222">
        <f t="shared" si="349"/>
        <v>0</v>
      </c>
      <c r="BG507" s="222">
        <f t="shared" si="349"/>
        <v>0</v>
      </c>
      <c r="BH507" s="222">
        <f t="shared" si="349"/>
        <v>0</v>
      </c>
      <c r="BI507" s="222">
        <f t="shared" si="349"/>
        <v>0</v>
      </c>
      <c r="BJ507" s="222">
        <f>SUM(BJ505:BJ506)</f>
        <v>0</v>
      </c>
      <c r="BK507" s="222">
        <f t="shared" ref="BK507:BN507" si="350">SUM(BK505:BK506)</f>
        <v>623366545.95000005</v>
      </c>
      <c r="BL507" s="222">
        <f t="shared" si="350"/>
        <v>0</v>
      </c>
      <c r="BM507" s="222">
        <f t="shared" si="350"/>
        <v>236664486.34</v>
      </c>
      <c r="BN507" s="222">
        <f t="shared" si="350"/>
        <v>0</v>
      </c>
    </row>
    <row r="508" spans="1:66" s="171" customFormat="1" hidden="1" outlineLevel="1" x14ac:dyDescent="0.3">
      <c r="B508" s="223" t="s">
        <v>3580</v>
      </c>
      <c r="C508" s="224" t="s">
        <v>2731</v>
      </c>
      <c r="D508" s="224"/>
      <c r="E508" s="223" t="s">
        <v>3580</v>
      </c>
      <c r="F508" s="224"/>
      <c r="G508" s="224"/>
      <c r="H508" s="224"/>
      <c r="I508" s="225">
        <f>+I499-I505</f>
        <v>-57513239.825121522</v>
      </c>
      <c r="J508" s="225">
        <f t="shared" ref="J508:BB508" si="351">+J499-J505</f>
        <v>-57513243.545683503</v>
      </c>
      <c r="K508" s="225">
        <f t="shared" si="351"/>
        <v>3.7205619881860912</v>
      </c>
      <c r="L508" s="225">
        <f t="shared" si="351"/>
        <v>379664849.74505281</v>
      </c>
      <c r="M508" s="225"/>
      <c r="N508" s="225">
        <f t="shared" si="351"/>
        <v>14925702.200379059</v>
      </c>
      <c r="O508" s="225">
        <f t="shared" ref="O508:Z508" si="352">+O499-O505</f>
        <v>-44285035.113130122</v>
      </c>
      <c r="P508" s="225">
        <f t="shared" si="352"/>
        <v>-5994331.6860488737</v>
      </c>
      <c r="Q508" s="225">
        <f t="shared" si="352"/>
        <v>-27592309.589364156</v>
      </c>
      <c r="R508" s="225">
        <f t="shared" si="352"/>
        <v>-10548044.605018416</v>
      </c>
      <c r="S508" s="225">
        <f t="shared" si="352"/>
        <v>-8016660.4564585164</v>
      </c>
      <c r="T508" s="225">
        <f t="shared" si="352"/>
        <v>-1644787.0305623598</v>
      </c>
      <c r="U508" s="225">
        <f t="shared" si="352"/>
        <v>5255439.3295752406</v>
      </c>
      <c r="V508" s="225">
        <f t="shared" si="352"/>
        <v>-5099194.9049926773</v>
      </c>
      <c r="W508" s="225">
        <f t="shared" si="352"/>
        <v>2252806.3639782481</v>
      </c>
      <c r="X508" s="225">
        <f t="shared" si="352"/>
        <v>5509800.748686472</v>
      </c>
      <c r="Y508" s="225">
        <f t="shared" si="352"/>
        <v>8494692.1809492782</v>
      </c>
      <c r="Z508" s="225">
        <f t="shared" si="352"/>
        <v>-7540502.7289166041</v>
      </c>
      <c r="AA508" s="225">
        <f t="shared" si="351"/>
        <v>0.27886208146810532</v>
      </c>
      <c r="AB508" s="225">
        <f t="shared" si="351"/>
        <v>0</v>
      </c>
      <c r="AC508" s="225">
        <f t="shared" si="351"/>
        <v>3957294.560594324</v>
      </c>
      <c r="AD508" s="225">
        <f t="shared" si="351"/>
        <v>3925000</v>
      </c>
      <c r="AE508" s="225">
        <f t="shared" si="351"/>
        <v>0</v>
      </c>
      <c r="AF508" s="225">
        <f t="shared" ref="AF508" si="353">+AF499-AF505</f>
        <v>8886891.3457834609</v>
      </c>
      <c r="AG508" s="225">
        <f t="shared" ref="AG508" si="354">+AG499-AG505</f>
        <v>-0.44000000134110451</v>
      </c>
      <c r="AH508" s="225">
        <f t="shared" si="351"/>
        <v>0</v>
      </c>
      <c r="AI508" s="225">
        <f t="shared" si="351"/>
        <v>0</v>
      </c>
      <c r="AJ508" s="225">
        <f t="shared" si="351"/>
        <v>0</v>
      </c>
      <c r="AK508" s="225">
        <f t="shared" si="351"/>
        <v>0</v>
      </c>
      <c r="AL508" s="225">
        <f t="shared" si="351"/>
        <v>0</v>
      </c>
      <c r="AM508" s="225">
        <f t="shared" ref="AM508:AN508" si="355">+AM499-AM505</f>
        <v>0</v>
      </c>
      <c r="AN508" s="225">
        <f t="shared" si="355"/>
        <v>0</v>
      </c>
      <c r="AO508" s="225">
        <f t="shared" si="351"/>
        <v>-4</v>
      </c>
      <c r="AP508" s="225">
        <f t="shared" si="351"/>
        <v>1268176</v>
      </c>
      <c r="AQ508" s="225"/>
      <c r="AR508" s="225">
        <f t="shared" si="351"/>
        <v>194732714.59518746</v>
      </c>
      <c r="AS508" s="225">
        <f t="shared" si="351"/>
        <v>42158065</v>
      </c>
      <c r="AT508" s="225">
        <f t="shared" si="351"/>
        <v>95377.41</v>
      </c>
      <c r="AU508" s="225">
        <f t="shared" si="351"/>
        <v>4993146.5280817291</v>
      </c>
      <c r="AV508" s="225">
        <f t="shared" si="351"/>
        <v>0</v>
      </c>
      <c r="AW508" s="225">
        <f t="shared" si="351"/>
        <v>0</v>
      </c>
      <c r="AX508" s="225">
        <f t="shared" si="351"/>
        <v>0</v>
      </c>
      <c r="AY508" s="225">
        <f t="shared" si="351"/>
        <v>0</v>
      </c>
      <c r="AZ508" s="225">
        <f t="shared" si="351"/>
        <v>0</v>
      </c>
      <c r="BA508" s="225">
        <f t="shared" si="351"/>
        <v>0</v>
      </c>
      <c r="BB508" s="225">
        <f t="shared" si="351"/>
        <v>6979623.5999999996</v>
      </c>
      <c r="BC508" s="225">
        <f t="shared" ref="BC508:BJ508" si="356">+BC499-BC505</f>
        <v>3608659.0295310048</v>
      </c>
      <c r="BD508" s="225">
        <f t="shared" si="356"/>
        <v>192941373.97187892</v>
      </c>
      <c r="BE508" s="225">
        <f t="shared" si="356"/>
        <v>-3179246.5390269402</v>
      </c>
      <c r="BF508" s="225">
        <f t="shared" si="356"/>
        <v>616948.69508403586</v>
      </c>
      <c r="BG508" s="225">
        <f t="shared" si="356"/>
        <v>0</v>
      </c>
      <c r="BH508" s="225">
        <f t="shared" si="356"/>
        <v>9644473</v>
      </c>
      <c r="BI508" s="225">
        <f t="shared" si="356"/>
        <v>0</v>
      </c>
      <c r="BJ508" s="225">
        <f t="shared" si="356"/>
        <v>0</v>
      </c>
      <c r="BK508" s="225">
        <f>+SUM(N508:AA508)</f>
        <v>-74282425.012061357</v>
      </c>
      <c r="BL508" s="225">
        <f>+AB508</f>
        <v>0</v>
      </c>
      <c r="BM508" s="225">
        <f>+SUM(AC508:AO508)</f>
        <v>16769181.466377784</v>
      </c>
      <c r="BN508" s="225">
        <f>+SUM(AP508:BJ508)</f>
        <v>453859311.2907362</v>
      </c>
    </row>
    <row r="509" spans="1:66" s="171" customFormat="1" ht="16.2" hidden="1" outlineLevel="1" thickBot="1" x14ac:dyDescent="0.35">
      <c r="B509" s="226" t="s">
        <v>2689</v>
      </c>
      <c r="C509" s="227" t="s">
        <v>2731</v>
      </c>
      <c r="D509" s="227"/>
      <c r="E509" s="226" t="s">
        <v>2689</v>
      </c>
      <c r="F509" s="227"/>
      <c r="G509" s="227"/>
      <c r="H509" s="227"/>
      <c r="I509" s="228">
        <f>I502-I506</f>
        <v>7800292.3766273335</v>
      </c>
      <c r="J509" s="228">
        <f t="shared" ref="J509:BB509" si="357">J502-J506</f>
        <v>7800292.3766273186</v>
      </c>
      <c r="K509" s="228">
        <f t="shared" si="357"/>
        <v>1.4901161193847656E-8</v>
      </c>
      <c r="L509" s="228">
        <f t="shared" si="357"/>
        <v>9150323</v>
      </c>
      <c r="M509" s="228"/>
      <c r="N509" s="228">
        <f t="shared" si="357"/>
        <v>3776436.2708992055</v>
      </c>
      <c r="O509" s="228">
        <f t="shared" ref="O509:Z509" si="358">O502-O506</f>
        <v>0.26183186948765069</v>
      </c>
      <c r="P509" s="228">
        <f t="shared" si="358"/>
        <v>-0.38230029275291599</v>
      </c>
      <c r="Q509" s="228">
        <f t="shared" si="358"/>
        <v>2.2158511215820909E-2</v>
      </c>
      <c r="R509" s="228">
        <f t="shared" si="358"/>
        <v>-0.16971350894164061</v>
      </c>
      <c r="S509" s="228">
        <f t="shared" si="358"/>
        <v>0.38910915935412049</v>
      </c>
      <c r="T509" s="228">
        <f t="shared" si="358"/>
        <v>8.2442492712289095E-2</v>
      </c>
      <c r="U509" s="228">
        <f t="shared" si="358"/>
        <v>2305863.4792659977</v>
      </c>
      <c r="V509" s="228">
        <f t="shared" si="358"/>
        <v>-0.26044332911260426</v>
      </c>
      <c r="W509" s="228">
        <f t="shared" si="358"/>
        <v>3491945.1659636134</v>
      </c>
      <c r="X509" s="228">
        <f t="shared" si="358"/>
        <v>24599.4191551652</v>
      </c>
      <c r="Y509" s="228">
        <f t="shared" si="358"/>
        <v>2288052.1460142201</v>
      </c>
      <c r="Z509" s="228">
        <f t="shared" si="358"/>
        <v>2.643245505169034E-2</v>
      </c>
      <c r="AA509" s="228">
        <f t="shared" si="357"/>
        <v>0</v>
      </c>
      <c r="AB509" s="228">
        <f t="shared" si="357"/>
        <v>0</v>
      </c>
      <c r="AC509" s="228">
        <f t="shared" si="357"/>
        <v>2836896</v>
      </c>
      <c r="AD509" s="228">
        <f t="shared" si="357"/>
        <v>-6908500</v>
      </c>
      <c r="AE509" s="228">
        <f t="shared" si="357"/>
        <v>-15000</v>
      </c>
      <c r="AF509" s="228">
        <f t="shared" ref="AF509" si="359">AF502-AF506</f>
        <v>-7.4188238009810448E-2</v>
      </c>
      <c r="AG509" s="228">
        <f t="shared" ref="AG509" si="360">AG502-AG506</f>
        <v>0</v>
      </c>
      <c r="AH509" s="228">
        <f t="shared" si="357"/>
        <v>0</v>
      </c>
      <c r="AI509" s="228">
        <f t="shared" si="357"/>
        <v>0</v>
      </c>
      <c r="AJ509" s="228">
        <f t="shared" si="357"/>
        <v>0</v>
      </c>
      <c r="AK509" s="228">
        <f t="shared" si="357"/>
        <v>0</v>
      </c>
      <c r="AL509" s="228">
        <f t="shared" si="357"/>
        <v>0</v>
      </c>
      <c r="AM509" s="228">
        <f t="shared" ref="AM509:AN509" si="361">AM502-AM506</f>
        <v>0</v>
      </c>
      <c r="AN509" s="228">
        <f t="shared" si="361"/>
        <v>0</v>
      </c>
      <c r="AO509" s="228">
        <f t="shared" si="357"/>
        <v>0</v>
      </c>
      <c r="AP509" s="228">
        <f t="shared" si="357"/>
        <v>0</v>
      </c>
      <c r="AQ509" s="228"/>
      <c r="AR509" s="228">
        <f t="shared" si="357"/>
        <v>-329069.96444709058</v>
      </c>
      <c r="AS509" s="228">
        <f t="shared" si="357"/>
        <v>0</v>
      </c>
      <c r="AT509" s="228">
        <f t="shared" si="357"/>
        <v>0</v>
      </c>
      <c r="AU509" s="228">
        <f t="shared" si="357"/>
        <v>-8437.6913960792463</v>
      </c>
      <c r="AV509" s="228">
        <f t="shared" si="357"/>
        <v>0</v>
      </c>
      <c r="AW509" s="228">
        <f t="shared" si="357"/>
        <v>0</v>
      </c>
      <c r="AX509" s="228">
        <f t="shared" si="357"/>
        <v>0</v>
      </c>
      <c r="AY509" s="228">
        <f t="shared" si="357"/>
        <v>0</v>
      </c>
      <c r="AZ509" s="228">
        <f t="shared" si="357"/>
        <v>0</v>
      </c>
      <c r="BA509" s="228">
        <f t="shared" si="357"/>
        <v>0</v>
      </c>
      <c r="BB509" s="228">
        <f t="shared" si="357"/>
        <v>0</v>
      </c>
      <c r="BC509" s="228">
        <f t="shared" ref="BC509:BJ509" si="362">BC502-BC506</f>
        <v>0</v>
      </c>
      <c r="BD509" s="228">
        <f t="shared" si="362"/>
        <v>0</v>
      </c>
      <c r="BE509" s="228">
        <f t="shared" si="362"/>
        <v>0</v>
      </c>
      <c r="BF509" s="228">
        <f t="shared" si="362"/>
        <v>0</v>
      </c>
      <c r="BG509" s="228">
        <f t="shared" si="362"/>
        <v>1687538.279215849</v>
      </c>
      <c r="BH509" s="228">
        <f t="shared" si="362"/>
        <v>0</v>
      </c>
      <c r="BI509" s="228">
        <f t="shared" si="362"/>
        <v>0</v>
      </c>
      <c r="BJ509" s="228">
        <f t="shared" si="362"/>
        <v>0</v>
      </c>
      <c r="BK509" s="228">
        <f>+SUM(N509:AA509)</f>
        <v>11886896.450815558</v>
      </c>
      <c r="BL509" s="228">
        <f>+AB509</f>
        <v>0</v>
      </c>
      <c r="BM509" s="228">
        <f>+SUM(AC509:AO509)</f>
        <v>-4086604.074188238</v>
      </c>
      <c r="BN509" s="228">
        <f>+SUM(AP509:BJ509)</f>
        <v>1350030.6233726791</v>
      </c>
    </row>
    <row r="510" spans="1:66" s="171" customFormat="1" ht="16.2" hidden="1" outlineLevel="1" thickBot="1" x14ac:dyDescent="0.35">
      <c r="B510" s="229" t="s">
        <v>2690</v>
      </c>
      <c r="C510" s="230" t="s">
        <v>2731</v>
      </c>
      <c r="D510" s="230" t="s">
        <v>2854</v>
      </c>
      <c r="E510" s="229" t="s">
        <v>2690</v>
      </c>
      <c r="F510" s="230"/>
      <c r="G510" s="230"/>
      <c r="H510" s="230" t="s">
        <v>2920</v>
      </c>
      <c r="I510" s="231">
        <f>+I503-I507</f>
        <v>-49712947.448494196</v>
      </c>
      <c r="J510" s="231">
        <f t="shared" ref="J510:BB510" si="363">+J503-J507</f>
        <v>-49712951.169056177</v>
      </c>
      <c r="K510" s="231">
        <f t="shared" si="363"/>
        <v>3.7205620030872524</v>
      </c>
      <c r="L510" s="231">
        <f t="shared" si="363"/>
        <v>388815172.74505281</v>
      </c>
      <c r="M510" s="231"/>
      <c r="N510" s="231">
        <f t="shared" si="363"/>
        <v>18702138.471278265</v>
      </c>
      <c r="O510" s="231">
        <f t="shared" ref="O510:Z510" si="364">+O503-O507</f>
        <v>-44285034.851298258</v>
      </c>
      <c r="P510" s="231">
        <f t="shared" si="364"/>
        <v>-5994332.0683491668</v>
      </c>
      <c r="Q510" s="231">
        <f t="shared" si="364"/>
        <v>-27592309.567205645</v>
      </c>
      <c r="R510" s="231">
        <f t="shared" si="364"/>
        <v>-10548044.774731925</v>
      </c>
      <c r="S510" s="231">
        <f t="shared" si="364"/>
        <v>-8016660.0673493594</v>
      </c>
      <c r="T510" s="231">
        <f t="shared" si="364"/>
        <v>-1644786.9481198676</v>
      </c>
      <c r="U510" s="231">
        <f t="shared" si="364"/>
        <v>7561302.8088412359</v>
      </c>
      <c r="V510" s="231">
        <f t="shared" si="364"/>
        <v>-5099195.1654360071</v>
      </c>
      <c r="W510" s="231">
        <f t="shared" si="364"/>
        <v>5744751.5299418606</v>
      </c>
      <c r="X510" s="231">
        <f t="shared" si="364"/>
        <v>5534400.1678416375</v>
      </c>
      <c r="Y510" s="231">
        <f t="shared" si="364"/>
        <v>10782744.326963499</v>
      </c>
      <c r="Z510" s="231">
        <f t="shared" si="364"/>
        <v>-7540502.7024841495</v>
      </c>
      <c r="AA510" s="231">
        <f t="shared" si="363"/>
        <v>0.27886208146810532</v>
      </c>
      <c r="AB510" s="231">
        <f t="shared" si="363"/>
        <v>0</v>
      </c>
      <c r="AC510" s="231">
        <f t="shared" si="363"/>
        <v>6794190.5605943222</v>
      </c>
      <c r="AD510" s="231">
        <f t="shared" si="363"/>
        <v>-2983500</v>
      </c>
      <c r="AE510" s="231">
        <f t="shared" si="363"/>
        <v>-15000</v>
      </c>
      <c r="AF510" s="231">
        <f t="shared" ref="AF510" si="365">+AF503-AF507</f>
        <v>8886891.271595221</v>
      </c>
      <c r="AG510" s="231">
        <f t="shared" ref="AG510" si="366">+AG503-AG507</f>
        <v>-0.44000000134110451</v>
      </c>
      <c r="AH510" s="231">
        <f t="shared" si="363"/>
        <v>0</v>
      </c>
      <c r="AI510" s="231">
        <f t="shared" si="363"/>
        <v>0</v>
      </c>
      <c r="AJ510" s="231">
        <f t="shared" si="363"/>
        <v>0</v>
      </c>
      <c r="AK510" s="231">
        <f t="shared" si="363"/>
        <v>0</v>
      </c>
      <c r="AL510" s="231">
        <f t="shared" si="363"/>
        <v>0</v>
      </c>
      <c r="AM510" s="231">
        <f t="shared" ref="AM510:AN510" si="367">+AM503-AM507</f>
        <v>0</v>
      </c>
      <c r="AN510" s="231">
        <f t="shared" si="367"/>
        <v>0</v>
      </c>
      <c r="AO510" s="231">
        <f t="shared" si="363"/>
        <v>-4</v>
      </c>
      <c r="AP510" s="231">
        <f t="shared" si="363"/>
        <v>1268176</v>
      </c>
      <c r="AQ510" s="231"/>
      <c r="AR510" s="231">
        <f t="shared" si="363"/>
        <v>194403644.63074037</v>
      </c>
      <c r="AS510" s="231">
        <f t="shared" si="363"/>
        <v>42158065</v>
      </c>
      <c r="AT510" s="231">
        <f t="shared" si="363"/>
        <v>95377.41</v>
      </c>
      <c r="AU510" s="231">
        <f t="shared" si="363"/>
        <v>4984708.8366856501</v>
      </c>
      <c r="AV510" s="231">
        <f t="shared" si="363"/>
        <v>0</v>
      </c>
      <c r="AW510" s="231">
        <f t="shared" si="363"/>
        <v>0</v>
      </c>
      <c r="AX510" s="231">
        <f t="shared" si="363"/>
        <v>0</v>
      </c>
      <c r="AY510" s="231">
        <f t="shared" si="363"/>
        <v>0</v>
      </c>
      <c r="AZ510" s="231">
        <f t="shared" si="363"/>
        <v>0</v>
      </c>
      <c r="BA510" s="231">
        <f t="shared" si="363"/>
        <v>0</v>
      </c>
      <c r="BB510" s="231">
        <f t="shared" si="363"/>
        <v>6979623.5999999996</v>
      </c>
      <c r="BC510" s="231">
        <f t="shared" ref="BC510:BI510" si="368">+BC503-BC507</f>
        <v>3608659.0295310048</v>
      </c>
      <c r="BD510" s="231">
        <f t="shared" si="368"/>
        <v>192941373.97187892</v>
      </c>
      <c r="BE510" s="231">
        <f t="shared" si="368"/>
        <v>-3179246.5390269402</v>
      </c>
      <c r="BF510" s="231">
        <f t="shared" si="368"/>
        <v>616948.69508403586</v>
      </c>
      <c r="BG510" s="231">
        <f t="shared" si="368"/>
        <v>1687538.279215849</v>
      </c>
      <c r="BH510" s="231">
        <f t="shared" si="368"/>
        <v>9644473</v>
      </c>
      <c r="BI510" s="231">
        <f t="shared" si="368"/>
        <v>0</v>
      </c>
      <c r="BJ510" s="231">
        <f>+BJ503-BJ507</f>
        <v>0</v>
      </c>
      <c r="BK510" s="231">
        <f t="shared" ref="BK510:BN510" si="369">+BK503-BK507</f>
        <v>-62395528.561245918</v>
      </c>
      <c r="BL510" s="231">
        <f t="shared" si="369"/>
        <v>0</v>
      </c>
      <c r="BM510" s="231">
        <f t="shared" si="369"/>
        <v>12682577.392189533</v>
      </c>
      <c r="BN510" s="231">
        <f t="shared" si="369"/>
        <v>455209341.91410887</v>
      </c>
    </row>
    <row r="511" spans="1:66" s="171" customFormat="1" hidden="1" outlineLevel="1" x14ac:dyDescent="0.3">
      <c r="A511" s="232"/>
      <c r="B511" s="232"/>
      <c r="C511" s="232"/>
      <c r="D511" s="232"/>
      <c r="E511" s="232"/>
      <c r="F511" s="232"/>
      <c r="G511" s="232"/>
      <c r="H511" s="232"/>
      <c r="I511" s="232"/>
      <c r="J511" s="234">
        <f>+L496+I510</f>
        <v>20069497.551505804</v>
      </c>
      <c r="K511" s="234">
        <v>-9735038</v>
      </c>
      <c r="L511" s="234">
        <f>+J511-K511</f>
        <v>29804535.551505804</v>
      </c>
      <c r="M511" s="776"/>
      <c r="N511" s="232"/>
      <c r="O511" s="232"/>
      <c r="P511" s="232"/>
      <c r="Q511" s="232"/>
      <c r="R511" s="232"/>
      <c r="S511" s="232"/>
      <c r="T511" s="232"/>
      <c r="U511" s="232"/>
      <c r="V511" s="232"/>
      <c r="W511" s="232"/>
      <c r="X511" s="232"/>
      <c r="Y511" s="232"/>
      <c r="Z511" s="232"/>
      <c r="AA511" s="232"/>
      <c r="AB511" s="232"/>
      <c r="AC511" s="232"/>
      <c r="AD511" s="232"/>
      <c r="AE511" s="232"/>
      <c r="AF511" s="232"/>
      <c r="AG511" s="232"/>
      <c r="AH511" s="232"/>
      <c r="AI511" s="232"/>
      <c r="AJ511" s="232"/>
      <c r="AK511" s="232"/>
      <c r="AL511" s="232"/>
      <c r="AM511" s="232"/>
      <c r="AN511" s="232"/>
      <c r="AO511" s="232"/>
      <c r="AP511" s="232"/>
      <c r="AQ511" s="232"/>
      <c r="AR511" s="232"/>
      <c r="AS511" s="232"/>
      <c r="AT511" s="232"/>
      <c r="AU511" s="232"/>
      <c r="AV511" s="232"/>
      <c r="AW511" s="232"/>
      <c r="AX511" s="232"/>
      <c r="AY511" s="232"/>
      <c r="AZ511" s="232"/>
      <c r="BA511" s="232"/>
      <c r="BB511" s="232"/>
      <c r="BC511" s="232"/>
      <c r="BD511" s="232"/>
      <c r="BE511" s="232"/>
      <c r="BF511" s="232"/>
      <c r="BG511" s="232"/>
      <c r="BH511" s="232"/>
      <c r="BI511" s="232"/>
      <c r="BJ511" s="232"/>
      <c r="BK511" s="232"/>
      <c r="BL511" s="232"/>
      <c r="BM511" s="232"/>
      <c r="BN511" s="232"/>
    </row>
    <row r="512" spans="1:66" s="232" customFormat="1" ht="26.4" customHeight="1" collapsed="1" x14ac:dyDescent="0.3">
      <c r="B512" s="314" t="s">
        <v>2732</v>
      </c>
      <c r="C512" s="239"/>
      <c r="D512" s="239"/>
      <c r="E512" s="314" t="s">
        <v>2918</v>
      </c>
      <c r="F512" s="239"/>
      <c r="G512" s="239"/>
      <c r="H512" s="239"/>
      <c r="I512" s="315">
        <f>+I513+I514+I524</f>
        <v>0</v>
      </c>
      <c r="J512" s="315"/>
      <c r="K512" s="315"/>
      <c r="L512" s="315"/>
      <c r="M512" s="315">
        <f t="shared" ref="M512:AL512" si="370">SUM(M513:M531)</f>
        <v>0</v>
      </c>
      <c r="N512" s="315">
        <f t="shared" si="370"/>
        <v>-18702138.200379059</v>
      </c>
      <c r="O512" s="315">
        <f t="shared" si="370"/>
        <v>38505038.200379059</v>
      </c>
      <c r="P512" s="315">
        <f t="shared" si="370"/>
        <v>5994332</v>
      </c>
      <c r="Q512" s="315">
        <f t="shared" si="370"/>
        <v>14551242</v>
      </c>
      <c r="R512" s="315">
        <f t="shared" si="370"/>
        <v>0</v>
      </c>
      <c r="S512" s="315">
        <f t="shared" si="370"/>
        <v>0</v>
      </c>
      <c r="T512" s="315">
        <f t="shared" si="370"/>
        <v>1957305</v>
      </c>
      <c r="U512" s="315">
        <f t="shared" si="370"/>
        <v>-7561302.8088412378</v>
      </c>
      <c r="V512" s="315">
        <f t="shared" si="370"/>
        <v>0</v>
      </c>
      <c r="W512" s="315">
        <f t="shared" si="370"/>
        <v>-5744751.5299418615</v>
      </c>
      <c r="X512" s="315">
        <f t="shared" si="370"/>
        <v>-5534400.1678416375</v>
      </c>
      <c r="Y512" s="315">
        <f t="shared" si="370"/>
        <v>-10782744.326963499</v>
      </c>
      <c r="Z512" s="315">
        <f t="shared" si="370"/>
        <v>0</v>
      </c>
      <c r="AA512" s="315">
        <f t="shared" si="370"/>
        <v>0</v>
      </c>
      <c r="AB512" s="315">
        <f t="shared" si="370"/>
        <v>0</v>
      </c>
      <c r="AC512" s="315">
        <f t="shared" si="370"/>
        <v>-6794191</v>
      </c>
      <c r="AD512" s="315">
        <f t="shared" si="370"/>
        <v>2983500</v>
      </c>
      <c r="AE512" s="315">
        <f t="shared" si="370"/>
        <v>15000</v>
      </c>
      <c r="AF512" s="315">
        <f t="shared" si="370"/>
        <v>-8886891</v>
      </c>
      <c r="AG512" s="315">
        <f t="shared" si="370"/>
        <v>0</v>
      </c>
      <c r="AH512" s="315">
        <f t="shared" si="370"/>
        <v>0</v>
      </c>
      <c r="AI512" s="315">
        <f t="shared" si="370"/>
        <v>0</v>
      </c>
      <c r="AJ512" s="315">
        <f t="shared" si="370"/>
        <v>0</v>
      </c>
      <c r="AK512" s="315">
        <f t="shared" si="370"/>
        <v>0</v>
      </c>
      <c r="AL512" s="315">
        <f t="shared" si="370"/>
        <v>0</v>
      </c>
      <c r="AM512" s="315"/>
      <c r="AN512" s="315"/>
      <c r="AO512" s="315">
        <f>SUM(AO513:AO531)</f>
        <v>0</v>
      </c>
      <c r="AP512" s="315">
        <f>SUM(AP513:AP531)</f>
        <v>0</v>
      </c>
      <c r="AQ512" s="315"/>
      <c r="AR512" s="315">
        <f t="shared" ref="AR512:BN512" si="371">SUM(AR513:AR531)</f>
        <v>0</v>
      </c>
      <c r="AS512" s="315">
        <f t="shared" si="371"/>
        <v>0</v>
      </c>
      <c r="AT512" s="315">
        <f t="shared" si="371"/>
        <v>0</v>
      </c>
      <c r="AU512" s="315">
        <f t="shared" si="371"/>
        <v>0</v>
      </c>
      <c r="AV512" s="315">
        <f t="shared" si="371"/>
        <v>0</v>
      </c>
      <c r="AW512" s="315">
        <f t="shared" si="371"/>
        <v>0</v>
      </c>
      <c r="AX512" s="315">
        <f t="shared" si="371"/>
        <v>0</v>
      </c>
      <c r="AY512" s="315">
        <f t="shared" si="371"/>
        <v>0</v>
      </c>
      <c r="AZ512" s="315">
        <f t="shared" si="371"/>
        <v>0</v>
      </c>
      <c r="BA512" s="315">
        <f t="shared" si="371"/>
        <v>0</v>
      </c>
      <c r="BB512" s="315">
        <f t="shared" si="371"/>
        <v>0</v>
      </c>
      <c r="BC512" s="315">
        <f t="shared" si="371"/>
        <v>0</v>
      </c>
      <c r="BD512" s="315">
        <f t="shared" si="371"/>
        <v>0</v>
      </c>
      <c r="BE512" s="315">
        <f t="shared" si="371"/>
        <v>0</v>
      </c>
      <c r="BF512" s="315">
        <f t="shared" si="371"/>
        <v>0</v>
      </c>
      <c r="BG512" s="315">
        <f t="shared" si="371"/>
        <v>0</v>
      </c>
      <c r="BH512" s="315">
        <f t="shared" si="371"/>
        <v>0</v>
      </c>
      <c r="BI512" s="315">
        <f t="shared" si="371"/>
        <v>0</v>
      </c>
      <c r="BJ512" s="315">
        <f t="shared" si="371"/>
        <v>0</v>
      </c>
      <c r="BK512" s="315">
        <f t="shared" si="371"/>
        <v>0</v>
      </c>
      <c r="BL512" s="315">
        <f t="shared" si="371"/>
        <v>0</v>
      </c>
      <c r="BM512" s="315">
        <f t="shared" si="371"/>
        <v>0</v>
      </c>
      <c r="BN512" s="315">
        <f t="shared" si="371"/>
        <v>0</v>
      </c>
    </row>
    <row r="513" spans="2:66" s="171" customFormat="1" hidden="1" outlineLevel="1" x14ac:dyDescent="0.3">
      <c r="B513" s="239"/>
      <c r="C513" s="239"/>
      <c r="D513" s="239"/>
      <c r="E513" s="239" t="s">
        <v>2729</v>
      </c>
      <c r="F513" s="239" t="s">
        <v>63</v>
      </c>
      <c r="G513" s="239">
        <v>300</v>
      </c>
      <c r="H513" s="239" t="s">
        <v>615</v>
      </c>
      <c r="I513" s="772">
        <f>SUM(N513:BJ513)</f>
        <v>0</v>
      </c>
      <c r="J513" s="150"/>
      <c r="K513" s="150"/>
      <c r="L513" s="150"/>
      <c r="M513" s="316"/>
      <c r="N513" s="150"/>
      <c r="O513" s="150"/>
      <c r="P513" s="150"/>
      <c r="Q513" s="150"/>
      <c r="R513" s="150"/>
      <c r="S513" s="150"/>
      <c r="T513" s="150"/>
      <c r="U513" s="150"/>
      <c r="V513" s="150"/>
      <c r="W513" s="150"/>
      <c r="X513" s="150"/>
      <c r="Y513" s="150"/>
      <c r="Z513" s="150"/>
      <c r="AA513" s="150"/>
      <c r="AB513" s="150"/>
      <c r="AC513" s="150"/>
      <c r="AD513" s="150"/>
      <c r="AE513" s="150"/>
      <c r="AF513" s="150"/>
      <c r="AG513" s="150"/>
      <c r="AH513" s="150"/>
      <c r="AI513" s="150"/>
      <c r="AJ513" s="150"/>
      <c r="AK513" s="150"/>
      <c r="AL513" s="150"/>
      <c r="AM513" s="150"/>
      <c r="AN513" s="150"/>
      <c r="AO513" s="150"/>
      <c r="AP513" s="150"/>
      <c r="AQ513" s="150"/>
      <c r="AR513" s="150"/>
      <c r="AS513" s="150"/>
      <c r="AT513" s="150"/>
      <c r="AU513" s="150"/>
      <c r="AV513" s="150"/>
      <c r="AW513" s="150"/>
      <c r="AX513" s="150"/>
      <c r="AY513" s="150"/>
      <c r="AZ513" s="150"/>
      <c r="BA513" s="150"/>
      <c r="BB513" s="150"/>
      <c r="BC513" s="150"/>
      <c r="BD513" s="150"/>
      <c r="BE513" s="150"/>
      <c r="BF513" s="150"/>
      <c r="BG513" s="150"/>
      <c r="BH513" s="150"/>
      <c r="BI513" s="150"/>
      <c r="BJ513" s="150"/>
      <c r="BK513" s="150"/>
      <c r="BL513" s="150"/>
      <c r="BM513" s="150"/>
      <c r="BN513" s="150"/>
    </row>
    <row r="514" spans="2:66" s="775" customFormat="1" hidden="1" outlineLevel="1" x14ac:dyDescent="0.3">
      <c r="B514" s="729"/>
      <c r="C514" s="729"/>
      <c r="D514" s="729"/>
      <c r="E514" s="729" t="s">
        <v>2730</v>
      </c>
      <c r="F514" s="729" t="s">
        <v>63</v>
      </c>
      <c r="G514" s="729">
        <v>345</v>
      </c>
      <c r="H514" s="729" t="s">
        <v>700</v>
      </c>
      <c r="I514" s="772">
        <f t="shared" ref="I514:I531" si="372">SUM(N514:BJ514)</f>
        <v>0</v>
      </c>
      <c r="J514" s="772"/>
      <c r="K514" s="772"/>
      <c r="L514" s="772">
        <f>SUM(N514:BN514)</f>
        <v>0</v>
      </c>
      <c r="M514" s="783"/>
      <c r="N514" s="772">
        <f>-N508</f>
        <v>-14925702.200379059</v>
      </c>
      <c r="O514" s="772">
        <f>-N514</f>
        <v>14925702.200379059</v>
      </c>
      <c r="P514" s="772"/>
      <c r="Q514" s="772"/>
      <c r="R514" s="772"/>
      <c r="S514" s="772"/>
      <c r="T514" s="772"/>
      <c r="U514" s="772"/>
      <c r="V514" s="772"/>
      <c r="W514" s="772"/>
      <c r="X514" s="772"/>
      <c r="Y514" s="772"/>
      <c r="Z514" s="772"/>
      <c r="AA514" s="772"/>
      <c r="AB514" s="772"/>
      <c r="AC514" s="772"/>
      <c r="AD514" s="772"/>
      <c r="AE514" s="772"/>
      <c r="AF514" s="772"/>
      <c r="AG514" s="772"/>
      <c r="AH514" s="772"/>
      <c r="AI514" s="772"/>
      <c r="AJ514" s="772"/>
      <c r="AK514" s="772"/>
      <c r="AL514" s="772"/>
      <c r="AM514" s="772"/>
      <c r="AN514" s="772"/>
      <c r="AO514" s="772"/>
      <c r="AP514" s="772"/>
      <c r="AQ514" s="772"/>
      <c r="AR514" s="772"/>
      <c r="AS514" s="772"/>
      <c r="AT514" s="772"/>
      <c r="AU514" s="772"/>
      <c r="AV514" s="772"/>
      <c r="AW514" s="772"/>
      <c r="AX514" s="772"/>
      <c r="AY514" s="772"/>
      <c r="AZ514" s="772"/>
      <c r="BA514" s="772"/>
      <c r="BB514" s="772"/>
      <c r="BC514" s="772"/>
      <c r="BD514" s="772"/>
      <c r="BE514" s="772"/>
      <c r="BF514" s="772"/>
      <c r="BG514" s="772"/>
      <c r="BH514" s="772"/>
      <c r="BI514" s="772"/>
      <c r="BJ514" s="772"/>
      <c r="BK514" s="772"/>
      <c r="BL514" s="772"/>
      <c r="BM514" s="772"/>
      <c r="BN514" s="772"/>
    </row>
    <row r="515" spans="2:66" s="171" customFormat="1" hidden="1" outlineLevel="1" x14ac:dyDescent="0.3">
      <c r="B515" s="239"/>
      <c r="C515" s="239"/>
      <c r="D515" s="239"/>
      <c r="E515" s="239"/>
      <c r="F515" s="239"/>
      <c r="G515" s="239"/>
      <c r="H515" s="239"/>
      <c r="I515" s="772">
        <f t="shared" si="372"/>
        <v>-0.32957524061203003</v>
      </c>
      <c r="J515" s="150"/>
      <c r="K515" s="150"/>
      <c r="L515" s="150">
        <f t="shared" ref="L515:L531" si="373">SUM(N515:BN515)</f>
        <v>-0.32957524061203003</v>
      </c>
      <c r="M515" s="316"/>
      <c r="N515" s="150"/>
      <c r="O515" s="150">
        <v>5255439</v>
      </c>
      <c r="P515" s="150"/>
      <c r="Q515" s="150"/>
      <c r="R515" s="150"/>
      <c r="S515" s="150"/>
      <c r="T515" s="150"/>
      <c r="U515" s="150">
        <f>-U508</f>
        <v>-5255439.3295752406</v>
      </c>
      <c r="V515" s="150"/>
      <c r="W515" s="150"/>
      <c r="X515" s="150"/>
      <c r="Y515" s="150"/>
      <c r="Z515" s="150"/>
      <c r="AA515" s="150"/>
      <c r="AB515" s="150"/>
      <c r="AC515" s="150"/>
      <c r="AD515" s="150"/>
      <c r="AE515" s="150"/>
      <c r="AF515" s="150"/>
      <c r="AG515" s="150"/>
      <c r="AH515" s="150"/>
      <c r="AI515" s="150"/>
      <c r="AJ515" s="150"/>
      <c r="AK515" s="150"/>
      <c r="AL515" s="150"/>
      <c r="AM515" s="150"/>
      <c r="AN515" s="150"/>
      <c r="AO515" s="150"/>
      <c r="AP515" s="150"/>
      <c r="AQ515" s="150"/>
      <c r="AR515" s="150"/>
      <c r="AS515" s="150"/>
      <c r="AT515" s="150"/>
      <c r="AU515" s="150"/>
      <c r="AV515" s="150"/>
      <c r="AW515" s="150"/>
      <c r="AX515" s="150"/>
      <c r="AY515" s="150"/>
      <c r="AZ515" s="150"/>
      <c r="BA515" s="150"/>
      <c r="BB515" s="150"/>
      <c r="BC515" s="150"/>
      <c r="BD515" s="150"/>
      <c r="BE515" s="150"/>
      <c r="BF515" s="150"/>
      <c r="BG515" s="150"/>
      <c r="BH515" s="150"/>
      <c r="BI515" s="150"/>
      <c r="BJ515" s="150"/>
      <c r="BK515" s="150"/>
      <c r="BL515" s="150"/>
      <c r="BM515" s="150"/>
      <c r="BN515" s="150"/>
    </row>
    <row r="516" spans="2:66" s="171" customFormat="1" hidden="1" outlineLevel="1" x14ac:dyDescent="0.3">
      <c r="B516" s="239"/>
      <c r="C516" s="239"/>
      <c r="D516" s="239"/>
      <c r="E516" s="239"/>
      <c r="F516" s="239"/>
      <c r="G516" s="239"/>
      <c r="H516" s="239"/>
      <c r="I516" s="772">
        <f t="shared" si="372"/>
        <v>-0.36397824808955193</v>
      </c>
      <c r="J516" s="150"/>
      <c r="K516" s="150"/>
      <c r="L516" s="150"/>
      <c r="M516" s="316"/>
      <c r="N516" s="150"/>
      <c r="O516" s="150">
        <v>2252806</v>
      </c>
      <c r="P516" s="150"/>
      <c r="Q516" s="150"/>
      <c r="R516" s="150"/>
      <c r="S516" s="150"/>
      <c r="T516" s="150"/>
      <c r="U516" s="150"/>
      <c r="V516" s="150"/>
      <c r="W516" s="150">
        <f>-W508</f>
        <v>-2252806.3639782481</v>
      </c>
      <c r="X516" s="150"/>
      <c r="Y516" s="150"/>
      <c r="Z516" s="150"/>
      <c r="AA516" s="150"/>
      <c r="AB516" s="150"/>
      <c r="AC516" s="150"/>
      <c r="AD516" s="150"/>
      <c r="AE516" s="150"/>
      <c r="AF516" s="150"/>
      <c r="AG516" s="150"/>
      <c r="AH516" s="150"/>
      <c r="AI516" s="150"/>
      <c r="AJ516" s="150"/>
      <c r="AK516" s="150"/>
      <c r="AL516" s="150"/>
      <c r="AM516" s="150"/>
      <c r="AN516" s="150"/>
      <c r="AO516" s="150"/>
      <c r="AP516" s="150"/>
      <c r="AQ516" s="150"/>
      <c r="AR516" s="150"/>
      <c r="AS516" s="150"/>
      <c r="AT516" s="150"/>
      <c r="AU516" s="150"/>
      <c r="AV516" s="150"/>
      <c r="AW516" s="150"/>
      <c r="AX516" s="150"/>
      <c r="AY516" s="150"/>
      <c r="AZ516" s="150"/>
      <c r="BA516" s="150"/>
      <c r="BB516" s="150"/>
      <c r="BC516" s="150"/>
      <c r="BD516" s="150"/>
      <c r="BE516" s="150"/>
      <c r="BF516" s="150"/>
      <c r="BG516" s="150"/>
      <c r="BH516" s="150"/>
      <c r="BI516" s="150"/>
      <c r="BJ516" s="150"/>
      <c r="BK516" s="150"/>
      <c r="BL516" s="150"/>
      <c r="BM516" s="150"/>
      <c r="BN516" s="150"/>
    </row>
    <row r="517" spans="2:66" s="171" customFormat="1" hidden="1" outlineLevel="1" x14ac:dyDescent="0.3">
      <c r="B517" s="239"/>
      <c r="C517" s="239"/>
      <c r="D517" s="239"/>
      <c r="E517" s="239"/>
      <c r="F517" s="239"/>
      <c r="G517" s="239"/>
      <c r="H517" s="239"/>
      <c r="I517" s="772">
        <f t="shared" si="372"/>
        <v>0.25131352804601192</v>
      </c>
      <c r="J517" s="150"/>
      <c r="K517" s="150"/>
      <c r="L517" s="150">
        <f t="shared" si="373"/>
        <v>0.25131352804601192</v>
      </c>
      <c r="M517" s="316"/>
      <c r="N517" s="150"/>
      <c r="O517" s="150">
        <v>5509801</v>
      </c>
      <c r="P517" s="150"/>
      <c r="Q517" s="150"/>
      <c r="R517" s="150"/>
      <c r="S517" s="150"/>
      <c r="T517" s="150"/>
      <c r="U517" s="150"/>
      <c r="V517" s="150"/>
      <c r="W517" s="150"/>
      <c r="X517" s="150">
        <f>-X508</f>
        <v>-5509800.748686472</v>
      </c>
      <c r="Y517" s="150"/>
      <c r="Z517" s="150"/>
      <c r="AA517" s="150"/>
      <c r="AB517" s="150"/>
      <c r="AC517" s="150"/>
      <c r="AD517" s="150"/>
      <c r="AE517" s="150"/>
      <c r="AF517" s="150"/>
      <c r="AG517" s="150"/>
      <c r="AH517" s="150"/>
      <c r="AI517" s="150"/>
      <c r="AJ517" s="150"/>
      <c r="AK517" s="150"/>
      <c r="AL517" s="150"/>
      <c r="AM517" s="150"/>
      <c r="AN517" s="150"/>
      <c r="AO517" s="150"/>
      <c r="AP517" s="150"/>
      <c r="AQ517" s="150"/>
      <c r="AR517" s="150"/>
      <c r="AS517" s="150"/>
      <c r="AT517" s="150"/>
      <c r="AU517" s="150"/>
      <c r="AV517" s="150"/>
      <c r="AW517" s="150"/>
      <c r="AX517" s="150"/>
      <c r="AY517" s="150"/>
      <c r="AZ517" s="150"/>
      <c r="BA517" s="150"/>
      <c r="BB517" s="150"/>
      <c r="BC517" s="150"/>
      <c r="BD517" s="150"/>
      <c r="BE517" s="150"/>
      <c r="BF517" s="150"/>
      <c r="BG517" s="150"/>
      <c r="BH517" s="150"/>
      <c r="BI517" s="150"/>
      <c r="BJ517" s="150"/>
      <c r="BK517" s="150"/>
      <c r="BL517" s="150"/>
      <c r="BM517" s="150"/>
      <c r="BN517" s="150"/>
    </row>
    <row r="518" spans="2:66" s="171" customFormat="1" hidden="1" outlineLevel="1" x14ac:dyDescent="0.3">
      <c r="B518" s="239"/>
      <c r="C518" s="239"/>
      <c r="D518" s="239"/>
      <c r="E518" s="239"/>
      <c r="F518" s="239"/>
      <c r="G518" s="239"/>
      <c r="H518" s="239"/>
      <c r="I518" s="772">
        <f t="shared" si="372"/>
        <v>-0.18094927817583084</v>
      </c>
      <c r="J518" s="150"/>
      <c r="K518" s="150"/>
      <c r="L518" s="150">
        <f t="shared" si="373"/>
        <v>-0.18094927817583084</v>
      </c>
      <c r="M518" s="316"/>
      <c r="N518" s="150"/>
      <c r="O518" s="150">
        <v>7348857</v>
      </c>
      <c r="P518" s="150">
        <v>1145835</v>
      </c>
      <c r="Q518" s="150"/>
      <c r="R518" s="150"/>
      <c r="S518" s="150"/>
      <c r="T518" s="150"/>
      <c r="U518" s="150"/>
      <c r="V518" s="150"/>
      <c r="W518" s="150"/>
      <c r="X518" s="150"/>
      <c r="Y518" s="150">
        <f>-Y508</f>
        <v>-8494692.1809492782</v>
      </c>
      <c r="Z518" s="150"/>
      <c r="AA518" s="150"/>
      <c r="AB518" s="150"/>
      <c r="AC518" s="150"/>
      <c r="AD518" s="150"/>
      <c r="AE518" s="150"/>
      <c r="AF518" s="150"/>
      <c r="AG518" s="150"/>
      <c r="AH518" s="150"/>
      <c r="AI518" s="150"/>
      <c r="AJ518" s="150"/>
      <c r="AK518" s="150"/>
      <c r="AL518" s="150"/>
      <c r="AM518" s="150"/>
      <c r="AN518" s="150"/>
      <c r="AO518" s="150"/>
      <c r="AP518" s="150"/>
      <c r="AQ518" s="150"/>
      <c r="AR518" s="150"/>
      <c r="AS518" s="150"/>
      <c r="AT518" s="150"/>
      <c r="AU518" s="150"/>
      <c r="AV518" s="150"/>
      <c r="AW518" s="150"/>
      <c r="AX518" s="150"/>
      <c r="AY518" s="150"/>
      <c r="AZ518" s="150"/>
      <c r="BA518" s="150"/>
      <c r="BB518" s="150"/>
      <c r="BC518" s="150"/>
      <c r="BD518" s="150"/>
      <c r="BE518" s="150"/>
      <c r="BF518" s="150"/>
      <c r="BG518" s="150"/>
      <c r="BH518" s="150"/>
      <c r="BI518" s="150"/>
      <c r="BJ518" s="150"/>
      <c r="BK518" s="150"/>
      <c r="BL518" s="150"/>
      <c r="BM518" s="150"/>
      <c r="BN518" s="150"/>
    </row>
    <row r="519" spans="2:66" s="171" customFormat="1" hidden="1" outlineLevel="1" x14ac:dyDescent="0.3">
      <c r="B519" s="239"/>
      <c r="C519" s="239"/>
      <c r="D519" s="239"/>
      <c r="E519" s="239"/>
      <c r="F519" s="239"/>
      <c r="G519" s="239"/>
      <c r="H519" s="239"/>
      <c r="I519" s="772">
        <f t="shared" si="372"/>
        <v>0</v>
      </c>
      <c r="J519" s="150"/>
      <c r="K519" s="150"/>
      <c r="L519" s="150">
        <f t="shared" si="373"/>
        <v>0</v>
      </c>
      <c r="M519" s="316"/>
      <c r="N519" s="150"/>
      <c r="O519" s="150"/>
      <c r="P519" s="150"/>
      <c r="Q519" s="150"/>
      <c r="R519" s="150"/>
      <c r="S519" s="150"/>
      <c r="T519" s="150"/>
      <c r="U519" s="150"/>
      <c r="V519" s="150"/>
      <c r="W519" s="150"/>
      <c r="X519" s="150"/>
      <c r="Y519" s="150"/>
      <c r="Z519" s="150"/>
      <c r="AA519" s="150"/>
      <c r="AB519" s="150"/>
      <c r="AC519" s="150"/>
      <c r="AD519" s="150"/>
      <c r="AE519" s="150"/>
      <c r="AF519" s="150"/>
      <c r="AG519" s="150"/>
      <c r="AH519" s="150"/>
      <c r="AI519" s="150"/>
      <c r="AJ519" s="150"/>
      <c r="AK519" s="150"/>
      <c r="AL519" s="150"/>
      <c r="AM519" s="150"/>
      <c r="AN519" s="150"/>
      <c r="AO519" s="150"/>
      <c r="AP519" s="150"/>
      <c r="AQ519" s="150"/>
      <c r="AR519" s="150"/>
      <c r="AS519" s="150"/>
      <c r="AT519" s="150"/>
      <c r="AU519" s="150"/>
      <c r="AV519" s="150"/>
      <c r="AW519" s="150"/>
      <c r="AX519" s="150"/>
      <c r="AY519" s="150"/>
      <c r="AZ519" s="150"/>
      <c r="BA519" s="150"/>
      <c r="BB519" s="150"/>
      <c r="BC519" s="150"/>
      <c r="BD519" s="150"/>
      <c r="BE519" s="150"/>
      <c r="BF519" s="150"/>
      <c r="BG519" s="150"/>
      <c r="BH519" s="150"/>
      <c r="BI519" s="150"/>
      <c r="BJ519" s="150"/>
      <c r="BK519" s="150"/>
      <c r="BL519" s="150"/>
      <c r="BM519" s="150"/>
      <c r="BN519" s="150"/>
    </row>
    <row r="520" spans="2:66" s="171" customFormat="1" hidden="1" outlineLevel="1" x14ac:dyDescent="0.3">
      <c r="B520" s="239"/>
      <c r="C520" s="239"/>
      <c r="D520" s="239"/>
      <c r="E520" s="239"/>
      <c r="F520" s="239"/>
      <c r="G520" s="239"/>
      <c r="H520" s="239"/>
      <c r="I520" s="772">
        <f t="shared" si="372"/>
        <v>0</v>
      </c>
      <c r="J520" s="150"/>
      <c r="K520" s="150"/>
      <c r="L520" s="150">
        <f t="shared" si="373"/>
        <v>0</v>
      </c>
      <c r="M520" s="316"/>
      <c r="N520" s="150"/>
      <c r="O520" s="150"/>
      <c r="P520" s="150"/>
      <c r="Q520" s="150"/>
      <c r="R520" s="150"/>
      <c r="S520" s="150"/>
      <c r="T520" s="150"/>
      <c r="U520" s="150"/>
      <c r="V520" s="150"/>
      <c r="W520" s="150"/>
      <c r="X520" s="150"/>
      <c r="Y520" s="150"/>
      <c r="Z520" s="150"/>
      <c r="AA520" s="150"/>
      <c r="AB520" s="150"/>
      <c r="AC520" s="150"/>
      <c r="AD520" s="150"/>
      <c r="AE520" s="150"/>
      <c r="AF520" s="150"/>
      <c r="AG520" s="150"/>
      <c r="AH520" s="150"/>
      <c r="AI520" s="150"/>
      <c r="AJ520" s="150"/>
      <c r="AK520" s="150"/>
      <c r="AL520" s="150"/>
      <c r="AM520" s="150"/>
      <c r="AN520" s="150"/>
      <c r="AO520" s="150"/>
      <c r="AP520" s="150"/>
      <c r="AQ520" s="150"/>
      <c r="AR520" s="150"/>
      <c r="AS520" s="150"/>
      <c r="AT520" s="150"/>
      <c r="AU520" s="150"/>
      <c r="AV520" s="150"/>
      <c r="AW520" s="150"/>
      <c r="AX520" s="150"/>
      <c r="AY520" s="150"/>
      <c r="AZ520" s="150"/>
      <c r="BA520" s="150"/>
      <c r="BB520" s="150"/>
      <c r="BC520" s="150"/>
      <c r="BD520" s="150"/>
      <c r="BE520" s="150"/>
      <c r="BF520" s="150"/>
      <c r="BG520" s="150"/>
      <c r="BH520" s="150"/>
      <c r="BI520" s="150"/>
      <c r="BJ520" s="150"/>
      <c r="BK520" s="150"/>
      <c r="BL520" s="150"/>
      <c r="BM520" s="150"/>
      <c r="BN520" s="150"/>
    </row>
    <row r="521" spans="2:66" s="171" customFormat="1" hidden="1" outlineLevel="1" x14ac:dyDescent="0.3">
      <c r="B521" s="239"/>
      <c r="C521" s="239"/>
      <c r="D521" s="239"/>
      <c r="E521" s="239"/>
      <c r="F521" s="239"/>
      <c r="G521" s="239"/>
      <c r="H521" s="239"/>
      <c r="I521" s="772">
        <f t="shared" si="372"/>
        <v>0</v>
      </c>
      <c r="J521" s="150"/>
      <c r="K521" s="150"/>
      <c r="L521" s="150">
        <f t="shared" si="373"/>
        <v>0</v>
      </c>
      <c r="M521" s="316"/>
      <c r="N521" s="150"/>
      <c r="O521" s="150"/>
      <c r="P521" s="150"/>
      <c r="Q521" s="150">
        <v>3925000</v>
      </c>
      <c r="R521" s="150"/>
      <c r="S521" s="150"/>
      <c r="T521" s="150"/>
      <c r="U521" s="150"/>
      <c r="V521" s="150"/>
      <c r="W521" s="150"/>
      <c r="X521" s="150"/>
      <c r="Y521" s="150"/>
      <c r="Z521" s="150"/>
      <c r="AA521" s="150"/>
      <c r="AB521" s="150"/>
      <c r="AC521" s="150"/>
      <c r="AD521" s="150">
        <v>-3925000</v>
      </c>
      <c r="AE521" s="150"/>
      <c r="AF521" s="150"/>
      <c r="AG521" s="150"/>
      <c r="AH521" s="150"/>
      <c r="AI521" s="150"/>
      <c r="AJ521" s="150"/>
      <c r="AK521" s="150"/>
      <c r="AL521" s="150"/>
      <c r="AM521" s="150"/>
      <c r="AN521" s="150"/>
      <c r="AO521" s="150"/>
      <c r="AP521" s="150"/>
      <c r="AQ521" s="150"/>
      <c r="AR521" s="150"/>
      <c r="AS521" s="150"/>
      <c r="AT521" s="150"/>
      <c r="AU521" s="150"/>
      <c r="AV521" s="150"/>
      <c r="AW521" s="150"/>
      <c r="AX521" s="150"/>
      <c r="AY521" s="150"/>
      <c r="AZ521" s="150"/>
      <c r="BA521" s="150"/>
      <c r="BB521" s="150"/>
      <c r="BC521" s="150"/>
      <c r="BD521" s="150"/>
      <c r="BE521" s="150"/>
      <c r="BF521" s="150"/>
      <c r="BG521" s="150"/>
      <c r="BH521" s="150"/>
      <c r="BI521" s="150"/>
      <c r="BJ521" s="150"/>
      <c r="BK521" s="150"/>
      <c r="BL521" s="150"/>
      <c r="BM521" s="150"/>
      <c r="BN521" s="150"/>
    </row>
    <row r="522" spans="2:66" s="171" customFormat="1" hidden="1" outlineLevel="1" x14ac:dyDescent="0.3">
      <c r="B522" s="239"/>
      <c r="C522" s="239"/>
      <c r="D522" s="239"/>
      <c r="E522" s="239"/>
      <c r="F522" s="239"/>
      <c r="G522" s="239"/>
      <c r="H522" s="239"/>
      <c r="I522" s="772">
        <f t="shared" si="372"/>
        <v>0</v>
      </c>
      <c r="J522" s="150"/>
      <c r="K522" s="150"/>
      <c r="L522" s="150"/>
      <c r="M522" s="316"/>
      <c r="N522" s="150"/>
      <c r="O522" s="150"/>
      <c r="P522" s="150"/>
      <c r="Q522" s="150">
        <v>8886891</v>
      </c>
      <c r="R522" s="150"/>
      <c r="S522" s="150"/>
      <c r="T522" s="150"/>
      <c r="U522" s="150"/>
      <c r="V522" s="150"/>
      <c r="W522" s="150"/>
      <c r="X522" s="150"/>
      <c r="Y522" s="150"/>
      <c r="Z522" s="150"/>
      <c r="AA522" s="150"/>
      <c r="AB522" s="150"/>
      <c r="AC522" s="150"/>
      <c r="AD522" s="150"/>
      <c r="AE522" s="150"/>
      <c r="AF522" s="150">
        <v>-8886891</v>
      </c>
      <c r="AG522" s="150"/>
      <c r="AH522" s="150"/>
      <c r="AI522" s="150"/>
      <c r="AJ522" s="150"/>
      <c r="AK522" s="150"/>
      <c r="AL522" s="150"/>
      <c r="AM522" s="150"/>
      <c r="AN522" s="150"/>
      <c r="AO522" s="150"/>
      <c r="AP522" s="150"/>
      <c r="AQ522" s="150"/>
      <c r="AR522" s="150"/>
      <c r="AS522" s="150"/>
      <c r="AT522" s="150"/>
      <c r="AU522" s="150"/>
      <c r="AV522" s="150"/>
      <c r="AW522" s="150"/>
      <c r="AX522" s="150"/>
      <c r="AY522" s="150"/>
      <c r="AZ522" s="150"/>
      <c r="BA522" s="150"/>
      <c r="BB522" s="150"/>
      <c r="BC522" s="150"/>
      <c r="BD522" s="150"/>
      <c r="BE522" s="150"/>
      <c r="BF522" s="150"/>
      <c r="BG522" s="150"/>
      <c r="BH522" s="150"/>
      <c r="BI522" s="150"/>
      <c r="BJ522" s="150"/>
      <c r="BK522" s="150"/>
      <c r="BL522" s="150"/>
      <c r="BM522" s="150"/>
      <c r="BN522" s="150"/>
    </row>
    <row r="523" spans="2:66" s="171" customFormat="1" hidden="1" outlineLevel="1" x14ac:dyDescent="0.3">
      <c r="B523" s="239"/>
      <c r="C523" s="239"/>
      <c r="D523" s="239"/>
      <c r="E523" s="239"/>
      <c r="F523" s="239"/>
      <c r="G523" s="239"/>
      <c r="H523" s="239"/>
      <c r="I523" s="772">
        <f t="shared" si="372"/>
        <v>0</v>
      </c>
      <c r="J523" s="150"/>
      <c r="K523" s="150"/>
      <c r="L523" s="150">
        <f t="shared" si="373"/>
        <v>0</v>
      </c>
      <c r="M523" s="316"/>
      <c r="N523" s="150"/>
      <c r="O523" s="150"/>
      <c r="P523" s="150">
        <v>3957295</v>
      </c>
      <c r="Q523" s="150"/>
      <c r="R523" s="150"/>
      <c r="S523" s="150"/>
      <c r="T523" s="150"/>
      <c r="U523" s="150"/>
      <c r="V523" s="150"/>
      <c r="W523" s="150"/>
      <c r="X523" s="150"/>
      <c r="Y523" s="150"/>
      <c r="Z523" s="150"/>
      <c r="AA523" s="150"/>
      <c r="AB523" s="150"/>
      <c r="AC523" s="150">
        <v>-3957295</v>
      </c>
      <c r="AD523" s="150"/>
      <c r="AE523" s="150"/>
      <c r="AF523" s="150"/>
      <c r="AG523" s="150"/>
      <c r="AH523" s="150"/>
      <c r="AI523" s="150"/>
      <c r="AJ523" s="150"/>
      <c r="AK523" s="150"/>
      <c r="AL523" s="150"/>
      <c r="AM523" s="150"/>
      <c r="AN523" s="150"/>
      <c r="AO523" s="150"/>
      <c r="AP523" s="150"/>
      <c r="AQ523" s="150"/>
      <c r="AR523" s="150"/>
      <c r="AS523" s="150"/>
      <c r="AT523" s="150"/>
      <c r="AU523" s="150"/>
      <c r="AV523" s="150"/>
      <c r="AW523" s="150"/>
      <c r="AX523" s="150"/>
      <c r="AY523" s="150"/>
      <c r="AZ523" s="150"/>
      <c r="BA523" s="150"/>
      <c r="BB523" s="150"/>
      <c r="BC523" s="150"/>
      <c r="BD523" s="150"/>
      <c r="BE523" s="150"/>
      <c r="BF523" s="150"/>
      <c r="BG523" s="150"/>
      <c r="BH523" s="150"/>
      <c r="BI523" s="150"/>
      <c r="BJ523" s="150"/>
      <c r="BK523" s="150"/>
      <c r="BL523" s="150"/>
      <c r="BM523" s="150"/>
      <c r="BN523" s="150"/>
    </row>
    <row r="524" spans="2:66" s="775" customFormat="1" hidden="1" outlineLevel="1" x14ac:dyDescent="0.3">
      <c r="B524" s="729"/>
      <c r="C524" s="729"/>
      <c r="D524" s="729"/>
      <c r="E524" s="729" t="s">
        <v>2748</v>
      </c>
      <c r="F524" s="729" t="s">
        <v>65</v>
      </c>
      <c r="G524" s="729"/>
      <c r="H524" s="729" t="s">
        <v>2590</v>
      </c>
      <c r="I524" s="772">
        <f t="shared" si="372"/>
        <v>0</v>
      </c>
      <c r="J524" s="772"/>
      <c r="K524" s="772"/>
      <c r="L524" s="772"/>
      <c r="M524" s="772"/>
      <c r="N524" s="772">
        <v>-3776436</v>
      </c>
      <c r="O524" s="772">
        <v>792936</v>
      </c>
      <c r="P524" s="772"/>
      <c r="Q524" s="772"/>
      <c r="R524" s="772"/>
      <c r="S524" s="772"/>
      <c r="T524" s="772"/>
      <c r="U524" s="772"/>
      <c r="V524" s="772"/>
      <c r="W524" s="772"/>
      <c r="X524" s="772"/>
      <c r="Y524" s="772"/>
      <c r="Z524" s="772"/>
      <c r="AA524" s="772"/>
      <c r="AB524" s="772"/>
      <c r="AC524" s="772"/>
      <c r="AD524" s="772">
        <v>2983500</v>
      </c>
      <c r="AE524" s="772"/>
      <c r="AF524" s="772"/>
      <c r="AG524" s="772"/>
      <c r="AH524" s="772"/>
      <c r="AI524" s="772"/>
      <c r="AJ524" s="772"/>
      <c r="AK524" s="772"/>
      <c r="AL524" s="772"/>
      <c r="AM524" s="772"/>
      <c r="AN524" s="772"/>
      <c r="AO524" s="772"/>
      <c r="AP524" s="772"/>
      <c r="AQ524" s="772"/>
      <c r="AR524" s="772"/>
      <c r="AS524" s="772"/>
      <c r="AT524" s="772"/>
      <c r="AU524" s="772"/>
      <c r="AV524" s="772"/>
      <c r="AW524" s="772"/>
      <c r="AX524" s="772"/>
      <c r="AY524" s="772"/>
      <c r="AZ524" s="772"/>
      <c r="BA524" s="772"/>
      <c r="BB524" s="772"/>
      <c r="BC524" s="772"/>
      <c r="BD524" s="772"/>
      <c r="BE524" s="772"/>
      <c r="BF524" s="772"/>
      <c r="BG524" s="772"/>
      <c r="BH524" s="772"/>
      <c r="BI524" s="772"/>
      <c r="BJ524" s="772"/>
      <c r="BK524" s="772"/>
      <c r="BL524" s="772"/>
      <c r="BM524" s="772"/>
      <c r="BN524" s="772"/>
    </row>
    <row r="525" spans="2:66" s="232" customFormat="1" hidden="1" outlineLevel="1" x14ac:dyDescent="0.3">
      <c r="B525" s="239"/>
      <c r="C525" s="239"/>
      <c r="D525" s="239"/>
      <c r="E525" s="239"/>
      <c r="F525" s="239"/>
      <c r="G525" s="239"/>
      <c r="H525" s="239"/>
      <c r="I525" s="772">
        <f t="shared" si="372"/>
        <v>-0.47926599765196443</v>
      </c>
      <c r="J525" s="150"/>
      <c r="K525" s="150"/>
      <c r="L525" s="150">
        <f t="shared" si="373"/>
        <v>-0.47926599765196443</v>
      </c>
      <c r="M525" s="150"/>
      <c r="N525" s="150"/>
      <c r="O525" s="150">
        <v>2305863</v>
      </c>
      <c r="P525" s="150"/>
      <c r="Q525" s="150"/>
      <c r="R525" s="150"/>
      <c r="S525" s="150"/>
      <c r="T525" s="150"/>
      <c r="U525" s="150">
        <f>-U509</f>
        <v>-2305863.4792659977</v>
      </c>
      <c r="V525" s="150"/>
      <c r="W525" s="150"/>
      <c r="X525" s="150"/>
      <c r="Y525" s="150"/>
      <c r="Z525" s="150"/>
      <c r="AA525" s="150"/>
      <c r="AB525" s="150"/>
      <c r="AC525" s="150"/>
      <c r="AD525" s="150"/>
      <c r="AE525" s="150"/>
      <c r="AF525" s="150"/>
      <c r="AG525" s="150"/>
      <c r="AH525" s="150"/>
      <c r="AI525" s="150"/>
      <c r="AJ525" s="150"/>
      <c r="AK525" s="150"/>
      <c r="AL525" s="150"/>
      <c r="AM525" s="150"/>
      <c r="AN525" s="150"/>
      <c r="AO525" s="150"/>
      <c r="AP525" s="150"/>
      <c r="AQ525" s="150"/>
      <c r="AR525" s="150"/>
      <c r="AS525" s="150"/>
      <c r="AT525" s="150"/>
      <c r="AU525" s="150"/>
      <c r="AV525" s="150"/>
      <c r="AW525" s="150"/>
      <c r="AX525" s="150"/>
      <c r="AY525" s="150"/>
      <c r="AZ525" s="150"/>
      <c r="BA525" s="150"/>
      <c r="BB525" s="150"/>
      <c r="BC525" s="150"/>
      <c r="BD525" s="150"/>
      <c r="BE525" s="150"/>
      <c r="BF525" s="150"/>
      <c r="BG525" s="150"/>
      <c r="BH525" s="150"/>
      <c r="BI525" s="150"/>
      <c r="BJ525" s="150"/>
      <c r="BK525" s="150"/>
      <c r="BL525" s="150"/>
      <c r="BM525" s="150"/>
      <c r="BN525" s="150"/>
    </row>
    <row r="526" spans="2:66" s="232" customFormat="1" hidden="1" outlineLevel="1" x14ac:dyDescent="0.3">
      <c r="B526" s="239"/>
      <c r="C526" s="239"/>
      <c r="D526" s="239"/>
      <c r="E526" s="239"/>
      <c r="F526" s="239"/>
      <c r="G526" s="239"/>
      <c r="H526" s="239"/>
      <c r="I526" s="772">
        <f t="shared" si="372"/>
        <v>0</v>
      </c>
      <c r="J526" s="150"/>
      <c r="K526" s="150"/>
      <c r="L526" s="150">
        <f t="shared" si="373"/>
        <v>0</v>
      </c>
      <c r="M526" s="150"/>
      <c r="N526" s="150"/>
      <c r="O526" s="150"/>
      <c r="P526" s="150"/>
      <c r="Q526" s="150"/>
      <c r="R526" s="150"/>
      <c r="S526" s="150"/>
      <c r="T526" s="150"/>
      <c r="U526" s="150"/>
      <c r="V526" s="150"/>
      <c r="W526" s="150"/>
      <c r="X526" s="150"/>
      <c r="Y526" s="150"/>
      <c r="Z526" s="150"/>
      <c r="AA526" s="150"/>
      <c r="AB526" s="150"/>
      <c r="AC526" s="150"/>
      <c r="AD526" s="150"/>
      <c r="AE526" s="150"/>
      <c r="AF526" s="150"/>
      <c r="AG526" s="150"/>
      <c r="AH526" s="150"/>
      <c r="AI526" s="150"/>
      <c r="AJ526" s="150"/>
      <c r="AK526" s="150"/>
      <c r="AL526" s="150"/>
      <c r="AM526" s="150"/>
      <c r="AN526" s="150"/>
      <c r="AO526" s="150"/>
      <c r="AP526" s="150"/>
      <c r="AQ526" s="150"/>
      <c r="AR526" s="150"/>
      <c r="AS526" s="150"/>
      <c r="AT526" s="150"/>
      <c r="AU526" s="150"/>
      <c r="AV526" s="150"/>
      <c r="AW526" s="150"/>
      <c r="AX526" s="150"/>
      <c r="AY526" s="150"/>
      <c r="AZ526" s="150"/>
      <c r="BA526" s="150"/>
      <c r="BB526" s="150"/>
      <c r="BC526" s="150"/>
      <c r="BD526" s="150"/>
      <c r="BE526" s="150"/>
      <c r="BF526" s="150"/>
      <c r="BG526" s="150"/>
      <c r="BH526" s="150"/>
      <c r="BI526" s="150"/>
      <c r="BJ526" s="150"/>
      <c r="BK526" s="150"/>
      <c r="BL526" s="150"/>
      <c r="BM526" s="150"/>
      <c r="BN526" s="150"/>
    </row>
    <row r="527" spans="2:66" s="232" customFormat="1" hidden="1" outlineLevel="1" x14ac:dyDescent="0.3">
      <c r="B527" s="239"/>
      <c r="C527" s="239"/>
      <c r="D527" s="239"/>
      <c r="E527" s="239"/>
      <c r="F527" s="239"/>
      <c r="G527" s="239"/>
      <c r="H527" s="239"/>
      <c r="I527" s="772">
        <f t="shared" si="372"/>
        <v>-0.31197783350944519</v>
      </c>
      <c r="J527" s="150"/>
      <c r="K527" s="150"/>
      <c r="L527" s="150">
        <f t="shared" si="373"/>
        <v>-0.31197783350944519</v>
      </c>
      <c r="M527" s="150"/>
      <c r="N527" s="150"/>
      <c r="O527" s="150"/>
      <c r="P527" s="150">
        <v>115646</v>
      </c>
      <c r="Q527" s="150">
        <v>1739351</v>
      </c>
      <c r="R527" s="150"/>
      <c r="S527" s="150"/>
      <c r="T527" s="150"/>
      <c r="U527" s="150"/>
      <c r="V527" s="150"/>
      <c r="W527" s="150">
        <f>-W509</f>
        <v>-3491945.1659636134</v>
      </c>
      <c r="X527" s="150"/>
      <c r="Y527" s="150">
        <f>-Y509</f>
        <v>-2288052.1460142201</v>
      </c>
      <c r="Z527" s="150"/>
      <c r="AA527" s="150"/>
      <c r="AB527" s="150"/>
      <c r="AC527" s="150"/>
      <c r="AD527" s="150">
        <v>3925000</v>
      </c>
      <c r="AE527" s="150"/>
      <c r="AF527" s="150"/>
      <c r="AG527" s="150"/>
      <c r="AH527" s="150"/>
      <c r="AI527" s="150"/>
      <c r="AJ527" s="150"/>
      <c r="AK527" s="150"/>
      <c r="AL527" s="150"/>
      <c r="AM527" s="150"/>
      <c r="AN527" s="150"/>
      <c r="AO527" s="150"/>
      <c r="AP527" s="150"/>
      <c r="AQ527" s="150"/>
      <c r="AR527" s="150"/>
      <c r="AS527" s="150"/>
      <c r="AT527" s="150"/>
      <c r="AU527" s="150"/>
      <c r="AV527" s="150"/>
      <c r="AW527" s="150"/>
      <c r="AX527" s="150"/>
      <c r="AY527" s="150"/>
      <c r="AZ527" s="150"/>
      <c r="BA527" s="150"/>
      <c r="BB527" s="150"/>
      <c r="BC527" s="150"/>
      <c r="BD527" s="150"/>
      <c r="BE527" s="150"/>
      <c r="BF527" s="150"/>
      <c r="BG527" s="150"/>
      <c r="BH527" s="150"/>
      <c r="BI527" s="150"/>
      <c r="BJ527" s="150"/>
      <c r="BK527" s="150"/>
      <c r="BL527" s="150"/>
      <c r="BM527" s="150"/>
      <c r="BN527" s="150"/>
    </row>
    <row r="528" spans="2:66" s="232" customFormat="1" hidden="1" outlineLevel="1" x14ac:dyDescent="0.3">
      <c r="B528" s="239"/>
      <c r="C528" s="239"/>
      <c r="D528" s="239"/>
      <c r="E528" s="239"/>
      <c r="F528" s="239"/>
      <c r="G528" s="239"/>
      <c r="H528" s="239"/>
      <c r="I528" s="772">
        <f t="shared" si="372"/>
        <v>-0.41915516520020901</v>
      </c>
      <c r="J528" s="150"/>
      <c r="K528" s="150"/>
      <c r="L528" s="150">
        <f t="shared" si="373"/>
        <v>-0.41915516520020901</v>
      </c>
      <c r="M528" s="150"/>
      <c r="N528" s="150"/>
      <c r="O528" s="150">
        <v>24599</v>
      </c>
      <c r="P528" s="150"/>
      <c r="Q528" s="150"/>
      <c r="R528" s="150"/>
      <c r="S528" s="150"/>
      <c r="T528" s="150"/>
      <c r="U528" s="150"/>
      <c r="V528" s="150"/>
      <c r="W528" s="150"/>
      <c r="X528" s="150">
        <f>-X509</f>
        <v>-24599.4191551652</v>
      </c>
      <c r="Y528" s="150"/>
      <c r="Z528" s="150"/>
      <c r="AA528" s="150"/>
      <c r="AB528" s="150"/>
      <c r="AC528" s="150"/>
      <c r="AD528" s="150"/>
      <c r="AE528" s="150"/>
      <c r="AF528" s="150"/>
      <c r="AG528" s="150"/>
      <c r="AH528" s="150"/>
      <c r="AI528" s="150"/>
      <c r="AJ528" s="150"/>
      <c r="AK528" s="150"/>
      <c r="AL528" s="150"/>
      <c r="AM528" s="150"/>
      <c r="AN528" s="150"/>
      <c r="AO528" s="150"/>
      <c r="AP528" s="150"/>
      <c r="AQ528" s="150"/>
      <c r="AR528" s="150"/>
      <c r="AS528" s="150"/>
      <c r="AT528" s="150"/>
      <c r="AU528" s="150"/>
      <c r="AV528" s="150"/>
      <c r="AW528" s="150"/>
      <c r="AX528" s="150"/>
      <c r="AY528" s="150"/>
      <c r="AZ528" s="150"/>
      <c r="BA528" s="150"/>
      <c r="BB528" s="150"/>
      <c r="BC528" s="150"/>
      <c r="BD528" s="150"/>
      <c r="BE528" s="150"/>
      <c r="BF528" s="150"/>
      <c r="BG528" s="150"/>
      <c r="BH528" s="150"/>
      <c r="BI528" s="150"/>
      <c r="BJ528" s="150"/>
      <c r="BK528" s="150"/>
      <c r="BL528" s="150"/>
      <c r="BM528" s="150"/>
      <c r="BN528" s="150"/>
    </row>
    <row r="529" spans="1:66" s="232" customFormat="1" hidden="1" outlineLevel="1" x14ac:dyDescent="0.3">
      <c r="B529" s="239"/>
      <c r="C529" s="239"/>
      <c r="D529" s="239"/>
      <c r="E529" s="239"/>
      <c r="F529" s="239"/>
      <c r="G529" s="239"/>
      <c r="H529" s="239"/>
      <c r="I529" s="772">
        <f t="shared" si="372"/>
        <v>0</v>
      </c>
      <c r="J529" s="150"/>
      <c r="K529" s="150"/>
      <c r="L529" s="150">
        <f t="shared" si="373"/>
        <v>0</v>
      </c>
      <c r="M529" s="150"/>
      <c r="N529" s="150"/>
      <c r="O529" s="150">
        <v>89035</v>
      </c>
      <c r="P529" s="150">
        <v>775556</v>
      </c>
      <c r="Q529" s="150"/>
      <c r="R529" s="150"/>
      <c r="S529" s="150"/>
      <c r="T529" s="150">
        <v>1957305</v>
      </c>
      <c r="U529" s="150"/>
      <c r="V529" s="150"/>
      <c r="W529" s="150"/>
      <c r="X529" s="150"/>
      <c r="Y529" s="150"/>
      <c r="Z529" s="150"/>
      <c r="AA529" s="150"/>
      <c r="AB529" s="150"/>
      <c r="AC529" s="150">
        <v>-2836896</v>
      </c>
      <c r="AD529" s="150"/>
      <c r="AE529" s="150">
        <v>15000</v>
      </c>
      <c r="AF529" s="150"/>
      <c r="AG529" s="150"/>
      <c r="AH529" s="150"/>
      <c r="AI529" s="150"/>
      <c r="AJ529" s="150"/>
      <c r="AK529" s="150"/>
      <c r="AL529" s="150"/>
      <c r="AM529" s="150"/>
      <c r="AN529" s="150"/>
      <c r="AO529" s="150"/>
      <c r="AP529" s="150"/>
      <c r="AQ529" s="150"/>
      <c r="AR529" s="150"/>
      <c r="AS529" s="150"/>
      <c r="AT529" s="150"/>
      <c r="AU529" s="150"/>
      <c r="AV529" s="150"/>
      <c r="AW529" s="150"/>
      <c r="AX529" s="150"/>
      <c r="AY529" s="150"/>
      <c r="AZ529" s="150"/>
      <c r="BA529" s="150"/>
      <c r="BB529" s="150"/>
      <c r="BC529" s="150"/>
      <c r="BD529" s="150"/>
      <c r="BE529" s="150"/>
      <c r="BF529" s="150"/>
      <c r="BG529" s="150"/>
      <c r="BH529" s="150"/>
      <c r="BI529" s="150"/>
      <c r="BJ529" s="150"/>
      <c r="BK529" s="150"/>
      <c r="BL529" s="150"/>
      <c r="BM529" s="150"/>
      <c r="BN529" s="150"/>
    </row>
    <row r="530" spans="1:66" s="232" customFormat="1" hidden="1" outlineLevel="1" x14ac:dyDescent="0.3">
      <c r="B530" s="239"/>
      <c r="C530" s="239"/>
      <c r="D530" s="239"/>
      <c r="E530" s="239"/>
      <c r="F530" s="239"/>
      <c r="G530" s="239"/>
      <c r="H530" s="239"/>
      <c r="I530" s="772">
        <f t="shared" si="372"/>
        <v>0</v>
      </c>
      <c r="J530" s="150"/>
      <c r="K530" s="150"/>
      <c r="L530" s="150">
        <f t="shared" si="373"/>
        <v>0</v>
      </c>
      <c r="M530" s="150"/>
      <c r="N530" s="150"/>
      <c r="O530" s="150"/>
      <c r="P530" s="150"/>
      <c r="Q530" s="150"/>
      <c r="R530" s="150"/>
      <c r="S530" s="150"/>
      <c r="T530" s="150"/>
      <c r="U530" s="150"/>
      <c r="V530" s="150"/>
      <c r="W530" s="150"/>
      <c r="X530" s="150"/>
      <c r="Y530" s="150"/>
      <c r="Z530" s="150"/>
      <c r="AA530" s="150"/>
      <c r="AB530" s="150"/>
      <c r="AC530" s="150"/>
      <c r="AD530" s="150"/>
      <c r="AE530" s="150"/>
      <c r="AF530" s="150"/>
      <c r="AG530" s="150"/>
      <c r="AH530" s="150"/>
      <c r="AI530" s="150"/>
      <c r="AJ530" s="150"/>
      <c r="AK530" s="150"/>
      <c r="AL530" s="150"/>
      <c r="AM530" s="150"/>
      <c r="AN530" s="150"/>
      <c r="AO530" s="150"/>
      <c r="AP530" s="150"/>
      <c r="AQ530" s="150"/>
      <c r="AR530" s="150"/>
      <c r="AS530" s="150"/>
      <c r="AT530" s="150"/>
      <c r="AU530" s="150"/>
      <c r="AV530" s="150"/>
      <c r="AW530" s="150"/>
      <c r="AX530" s="150"/>
      <c r="AY530" s="150"/>
      <c r="AZ530" s="150"/>
      <c r="BA530" s="150"/>
      <c r="BB530" s="150"/>
      <c r="BC530" s="150"/>
      <c r="BD530" s="150"/>
      <c r="BE530" s="150"/>
      <c r="BF530" s="150"/>
      <c r="BG530" s="150"/>
      <c r="BH530" s="150"/>
      <c r="BI530" s="150"/>
      <c r="BJ530" s="150"/>
      <c r="BK530" s="150"/>
      <c r="BL530" s="150"/>
      <c r="BM530" s="150"/>
      <c r="BN530" s="150"/>
    </row>
    <row r="531" spans="1:66" s="232" customFormat="1" hidden="1" outlineLevel="1" x14ac:dyDescent="0.3">
      <c r="B531" s="239"/>
      <c r="C531" s="239"/>
      <c r="D531" s="239"/>
      <c r="E531" s="239"/>
      <c r="F531" s="239"/>
      <c r="G531" s="239"/>
      <c r="H531" s="239"/>
      <c r="I531" s="772">
        <f t="shared" si="372"/>
        <v>0</v>
      </c>
      <c r="J531" s="150"/>
      <c r="K531" s="150"/>
      <c r="L531" s="150">
        <f t="shared" si="373"/>
        <v>0</v>
      </c>
      <c r="M531" s="150"/>
      <c r="N531" s="150"/>
      <c r="O531" s="150"/>
      <c r="P531" s="150"/>
      <c r="Q531" s="150"/>
      <c r="R531" s="150"/>
      <c r="S531" s="150"/>
      <c r="T531" s="150"/>
      <c r="U531" s="150"/>
      <c r="V531" s="150"/>
      <c r="W531" s="150"/>
      <c r="X531" s="150"/>
      <c r="Y531" s="150"/>
      <c r="Z531" s="150"/>
      <c r="AA531" s="150"/>
      <c r="AB531" s="150"/>
      <c r="AC531" s="150"/>
      <c r="AD531" s="150"/>
      <c r="AE531" s="150"/>
      <c r="AF531" s="150"/>
      <c r="AG531" s="150"/>
      <c r="AH531" s="150"/>
      <c r="AI531" s="150"/>
      <c r="AJ531" s="150"/>
      <c r="AK531" s="150"/>
      <c r="AL531" s="150"/>
      <c r="AM531" s="150"/>
      <c r="AN531" s="150"/>
      <c r="AO531" s="150"/>
      <c r="AP531" s="150"/>
      <c r="AQ531" s="150"/>
      <c r="AR531" s="150"/>
      <c r="AS531" s="150"/>
      <c r="AT531" s="150"/>
      <c r="AU531" s="150"/>
      <c r="AV531" s="150"/>
      <c r="AW531" s="150"/>
      <c r="AX531" s="150"/>
      <c r="AY531" s="150"/>
      <c r="AZ531" s="150"/>
      <c r="BA531" s="150"/>
      <c r="BB531" s="150"/>
      <c r="BC531" s="150"/>
      <c r="BD531" s="150"/>
      <c r="BE531" s="150"/>
      <c r="BF531" s="150"/>
      <c r="BG531" s="150"/>
      <c r="BH531" s="150"/>
      <c r="BI531" s="150"/>
      <c r="BJ531" s="150"/>
      <c r="BK531" s="150"/>
      <c r="BL531" s="150"/>
      <c r="BM531" s="150"/>
      <c r="BN531" s="150"/>
    </row>
    <row r="532" spans="1:66" s="232" customFormat="1" x14ac:dyDescent="0.3">
      <c r="A532" s="171"/>
      <c r="B532" s="317" t="s">
        <v>2593</v>
      </c>
      <c r="C532" s="317"/>
      <c r="D532" s="317"/>
      <c r="E532" s="317" t="s">
        <v>2593</v>
      </c>
      <c r="F532" s="317"/>
      <c r="G532" s="317"/>
      <c r="H532" s="317"/>
      <c r="I532" s="318">
        <f>+I510+I512</f>
        <v>-49712947.448494196</v>
      </c>
      <c r="J532" s="318">
        <f>SUM(N532:W532)</f>
        <v>-42172445.971211962</v>
      </c>
      <c r="K532" s="318">
        <f t="shared" ref="K532" si="374">+I532-J532</f>
        <v>-7540501.4772822335</v>
      </c>
      <c r="L532" s="318">
        <f>SUM(N532:AU532)</f>
        <v>193197018.87478152</v>
      </c>
      <c r="M532" s="319"/>
      <c r="N532" s="319">
        <f>+N510+N512</f>
        <v>0.2708992063999176</v>
      </c>
      <c r="O532" s="319">
        <f t="shared" ref="O532:BN532" si="375">+O510+O512</f>
        <v>-5779996.650919199</v>
      </c>
      <c r="P532" s="319">
        <f t="shared" si="375"/>
        <v>-6.834916677325964E-2</v>
      </c>
      <c r="Q532" s="319">
        <f t="shared" si="375"/>
        <v>-13041067.567205645</v>
      </c>
      <c r="R532" s="319">
        <f t="shared" si="375"/>
        <v>-10548044.774731925</v>
      </c>
      <c r="S532" s="319">
        <f t="shared" si="375"/>
        <v>-8016660.0673493594</v>
      </c>
      <c r="T532" s="319">
        <f t="shared" si="375"/>
        <v>312518.05188013241</v>
      </c>
      <c r="U532" s="319">
        <f t="shared" si="375"/>
        <v>0</v>
      </c>
      <c r="V532" s="319">
        <f t="shared" si="375"/>
        <v>-5099195.1654360071</v>
      </c>
      <c r="W532" s="319">
        <f t="shared" si="375"/>
        <v>0</v>
      </c>
      <c r="X532" s="319">
        <f t="shared" si="375"/>
        <v>0</v>
      </c>
      <c r="Y532" s="319">
        <f t="shared" si="375"/>
        <v>0</v>
      </c>
      <c r="Z532" s="319">
        <f t="shared" si="375"/>
        <v>-7540502.7024841495</v>
      </c>
      <c r="AA532" s="319">
        <f t="shared" si="375"/>
        <v>0.27886208146810532</v>
      </c>
      <c r="AB532" s="319">
        <f t="shared" si="375"/>
        <v>0</v>
      </c>
      <c r="AC532" s="319">
        <f t="shared" si="375"/>
        <v>-0.43940567784011364</v>
      </c>
      <c r="AD532" s="319">
        <f t="shared" si="375"/>
        <v>0</v>
      </c>
      <c r="AE532" s="319">
        <f t="shared" si="375"/>
        <v>0</v>
      </c>
      <c r="AF532" s="319">
        <f t="shared" si="375"/>
        <v>0.27159522101283073</v>
      </c>
      <c r="AG532" s="319">
        <f t="shared" si="375"/>
        <v>-0.44000000134110451</v>
      </c>
      <c r="AH532" s="319">
        <f t="shared" si="375"/>
        <v>0</v>
      </c>
      <c r="AI532" s="319">
        <f t="shared" si="375"/>
        <v>0</v>
      </c>
      <c r="AJ532" s="319">
        <f t="shared" si="375"/>
        <v>0</v>
      </c>
      <c r="AK532" s="319">
        <f t="shared" si="375"/>
        <v>0</v>
      </c>
      <c r="AL532" s="319">
        <f t="shared" si="375"/>
        <v>0</v>
      </c>
      <c r="AM532" s="319">
        <f t="shared" si="375"/>
        <v>0</v>
      </c>
      <c r="AN532" s="319">
        <f t="shared" si="375"/>
        <v>0</v>
      </c>
      <c r="AO532" s="319">
        <f t="shared" si="375"/>
        <v>-4</v>
      </c>
      <c r="AP532" s="319">
        <f t="shared" si="375"/>
        <v>1268176</v>
      </c>
      <c r="AQ532" s="319"/>
      <c r="AR532" s="319">
        <f t="shared" si="375"/>
        <v>194403644.63074037</v>
      </c>
      <c r="AS532" s="319">
        <f t="shared" si="375"/>
        <v>42158065</v>
      </c>
      <c r="AT532" s="319">
        <f t="shared" si="375"/>
        <v>95377.41</v>
      </c>
      <c r="AU532" s="319">
        <f t="shared" si="375"/>
        <v>4984708.8366856501</v>
      </c>
      <c r="AV532" s="319">
        <f t="shared" si="375"/>
        <v>0</v>
      </c>
      <c r="AW532" s="319">
        <f t="shared" si="375"/>
        <v>0</v>
      </c>
      <c r="AX532" s="319">
        <f t="shared" si="375"/>
        <v>0</v>
      </c>
      <c r="AY532" s="319">
        <f t="shared" si="375"/>
        <v>0</v>
      </c>
      <c r="AZ532" s="319">
        <f t="shared" si="375"/>
        <v>0</v>
      </c>
      <c r="BA532" s="319">
        <f t="shared" si="375"/>
        <v>0</v>
      </c>
      <c r="BB532" s="319">
        <f t="shared" si="375"/>
        <v>6979623.5999999996</v>
      </c>
      <c r="BC532" s="319">
        <f t="shared" si="375"/>
        <v>3608659.0295310048</v>
      </c>
      <c r="BD532" s="319">
        <f t="shared" si="375"/>
        <v>192941373.97187892</v>
      </c>
      <c r="BE532" s="319">
        <f t="shared" si="375"/>
        <v>-3179246.5390269402</v>
      </c>
      <c r="BF532" s="319">
        <f t="shared" si="375"/>
        <v>616948.69508403586</v>
      </c>
      <c r="BG532" s="319">
        <f t="shared" si="375"/>
        <v>1687538.279215849</v>
      </c>
      <c r="BH532" s="319">
        <f t="shared" si="375"/>
        <v>9644473</v>
      </c>
      <c r="BI532" s="319">
        <f t="shared" si="375"/>
        <v>0</v>
      </c>
      <c r="BJ532" s="319">
        <f t="shared" si="375"/>
        <v>0</v>
      </c>
      <c r="BK532" s="319">
        <f t="shared" si="375"/>
        <v>-62395528.561245918</v>
      </c>
      <c r="BL532" s="319">
        <f t="shared" si="375"/>
        <v>0</v>
      </c>
      <c r="BM532" s="319">
        <f t="shared" si="375"/>
        <v>12682577.392189533</v>
      </c>
      <c r="BN532" s="319">
        <f t="shared" si="375"/>
        <v>455209341.91410887</v>
      </c>
    </row>
    <row r="533" spans="1:66" s="232" customFormat="1" x14ac:dyDescent="0.3">
      <c r="M533" s="233"/>
    </row>
    <row r="534" spans="1:66" s="232" customFormat="1" x14ac:dyDescent="0.3">
      <c r="M534" s="233"/>
      <c r="N534" s="769"/>
      <c r="O534" s="769"/>
      <c r="P534" s="769"/>
      <c r="Q534" s="769"/>
      <c r="R534" s="769"/>
      <c r="S534" s="769"/>
      <c r="T534" s="769"/>
      <c r="U534" s="769"/>
      <c r="V534" s="769"/>
      <c r="W534" s="769"/>
      <c r="X534" s="769"/>
      <c r="Y534" s="769"/>
      <c r="Z534" s="769"/>
      <c r="AA534" s="769"/>
      <c r="AB534" s="769"/>
      <c r="AC534" s="769"/>
      <c r="AD534" s="769"/>
      <c r="AE534" s="769"/>
      <c r="AF534" s="769"/>
      <c r="AG534" s="769"/>
      <c r="AH534" s="769"/>
      <c r="AI534" s="769"/>
      <c r="AJ534" s="769"/>
      <c r="AK534" s="769"/>
      <c r="AL534" s="769"/>
      <c r="AM534" s="769"/>
      <c r="AN534" s="769"/>
      <c r="AO534" s="769"/>
      <c r="AP534" s="769"/>
      <c r="AQ534" s="769"/>
      <c r="AR534" s="769"/>
      <c r="AS534" s="769"/>
      <c r="AT534" s="769"/>
      <c r="AU534" s="769"/>
      <c r="AV534" s="769"/>
      <c r="AW534" s="769"/>
      <c r="AX534" s="769"/>
      <c r="AY534" s="769"/>
      <c r="AZ534" s="769"/>
      <c r="BA534" s="769"/>
      <c r="BB534" s="769"/>
      <c r="BC534" s="769"/>
      <c r="BD534" s="769"/>
    </row>
    <row r="535" spans="1:66" s="232" customFormat="1" x14ac:dyDescent="0.3">
      <c r="B535" s="232" t="s">
        <v>2612</v>
      </c>
      <c r="E535" s="232" t="s">
        <v>2612</v>
      </c>
      <c r="G535" s="232">
        <v>298</v>
      </c>
      <c r="H535" s="171" t="s">
        <v>611</v>
      </c>
      <c r="I535" s="234">
        <f>+'19.'!G15</f>
        <v>99289</v>
      </c>
      <c r="M535" s="233"/>
      <c r="O535" s="234"/>
      <c r="BJ535" s="234">
        <f>+I535</f>
        <v>99289</v>
      </c>
    </row>
    <row r="536" spans="1:66" s="232" customFormat="1" x14ac:dyDescent="0.3">
      <c r="B536" s="232" t="s">
        <v>2613</v>
      </c>
      <c r="E536" s="232" t="s">
        <v>2613</v>
      </c>
      <c r="G536" s="232">
        <v>285</v>
      </c>
      <c r="H536" s="171" t="s">
        <v>589</v>
      </c>
      <c r="I536" s="234">
        <f>+'19.'!F15</f>
        <v>99288.950000000012</v>
      </c>
      <c r="M536" s="233"/>
      <c r="BJ536" s="234">
        <f>+I536</f>
        <v>99288.950000000012</v>
      </c>
    </row>
    <row r="537" spans="1:66" x14ac:dyDescent="0.3">
      <c r="J537" s="159">
        <v>69782445</v>
      </c>
      <c r="O537" s="299"/>
    </row>
    <row r="538" spans="1:66" x14ac:dyDescent="0.3">
      <c r="I538" s="1055">
        <v>-69712947</v>
      </c>
      <c r="J538" s="299">
        <f>+I532</f>
        <v>-49712947.448494196</v>
      </c>
      <c r="L538" s="150">
        <f>L9/'3.a'!$H$2</f>
        <v>0</v>
      </c>
      <c r="AB538" s="150">
        <f>AC9/'3.a'!$H$2</f>
        <v>63144.569244524282</v>
      </c>
    </row>
    <row r="539" spans="1:66" x14ac:dyDescent="0.3">
      <c r="I539" s="1055">
        <v>-49712947</v>
      </c>
    </row>
    <row r="540" spans="1:66" x14ac:dyDescent="0.3">
      <c r="I540" s="299">
        <f>+I538-I539</f>
        <v>-20000000</v>
      </c>
    </row>
    <row r="543" spans="1:66" x14ac:dyDescent="0.3">
      <c r="G543" s="160">
        <v>339</v>
      </c>
      <c r="H543" s="159" t="s">
        <v>688</v>
      </c>
      <c r="I543" s="299">
        <f>+I510</f>
        <v>-49712947.448494196</v>
      </c>
      <c r="N543" s="299">
        <f>-N532</f>
        <v>-0.2708992063999176</v>
      </c>
      <c r="O543" s="299">
        <f t="shared" ref="O543:AO543" si="376">-O532</f>
        <v>5779996.650919199</v>
      </c>
      <c r="P543" s="299">
        <f t="shared" si="376"/>
        <v>6.834916677325964E-2</v>
      </c>
      <c r="Q543" s="299">
        <f t="shared" si="376"/>
        <v>13041067.567205645</v>
      </c>
      <c r="R543" s="299">
        <f t="shared" si="376"/>
        <v>10548044.774731925</v>
      </c>
      <c r="S543" s="299">
        <f t="shared" si="376"/>
        <v>8016660.0673493594</v>
      </c>
      <c r="T543" s="299">
        <f t="shared" si="376"/>
        <v>-312518.05188013241</v>
      </c>
      <c r="U543" s="299">
        <f t="shared" si="376"/>
        <v>0</v>
      </c>
      <c r="V543" s="299">
        <f t="shared" si="376"/>
        <v>5099195.1654360071</v>
      </c>
      <c r="W543" s="299">
        <f t="shared" si="376"/>
        <v>0</v>
      </c>
      <c r="X543" s="299">
        <f t="shared" si="376"/>
        <v>0</v>
      </c>
      <c r="Y543" s="299">
        <f t="shared" si="376"/>
        <v>0</v>
      </c>
      <c r="Z543" s="299">
        <f t="shared" si="376"/>
        <v>7540502.7024841495</v>
      </c>
      <c r="AA543" s="299">
        <f t="shared" si="376"/>
        <v>-0.27886208146810532</v>
      </c>
      <c r="AB543" s="299">
        <f t="shared" si="376"/>
        <v>0</v>
      </c>
      <c r="AC543" s="299">
        <f t="shared" si="376"/>
        <v>0.43940567784011364</v>
      </c>
      <c r="AD543" s="299">
        <f t="shared" si="376"/>
        <v>0</v>
      </c>
      <c r="AE543" s="299">
        <f t="shared" si="376"/>
        <v>0</v>
      </c>
      <c r="AF543" s="299">
        <f t="shared" si="376"/>
        <v>-0.27159522101283073</v>
      </c>
      <c r="AG543" s="299">
        <f t="shared" si="376"/>
        <v>0.44000000134110451</v>
      </c>
      <c r="AH543" s="299">
        <f t="shared" si="376"/>
        <v>0</v>
      </c>
      <c r="AI543" s="299">
        <f t="shared" si="376"/>
        <v>0</v>
      </c>
      <c r="AJ543" s="299">
        <f t="shared" si="376"/>
        <v>0</v>
      </c>
      <c r="AK543" s="299">
        <f t="shared" si="376"/>
        <v>0</v>
      </c>
      <c r="AL543" s="299">
        <f t="shared" si="376"/>
        <v>0</v>
      </c>
      <c r="AM543" s="299">
        <f t="shared" si="376"/>
        <v>0</v>
      </c>
      <c r="AN543" s="299">
        <f t="shared" si="376"/>
        <v>0</v>
      </c>
      <c r="AO543" s="299">
        <f t="shared" si="376"/>
        <v>4</v>
      </c>
    </row>
    <row r="557" spans="27:27" x14ac:dyDescent="0.3">
      <c r="AA557" s="159" t="s">
        <v>3981</v>
      </c>
    </row>
  </sheetData>
  <dataConsolidate topLabels="1"/>
  <pageMargins left="0.70866141732283472" right="0.70866141732283472" top="0.74803149606299213" bottom="0.74803149606299213" header="0.31496062992125984" footer="0.31496062992125984"/>
  <pageSetup paperSize="8" orientation="landscape" r:id="rId1"/>
  <headerFooter>
    <oddHeader>&amp;L&amp;"Garamond,Félkövér"&amp;20 1. melléklet - Pedagógiai és Pszichológiai Kar /Szombathely/ költségvetésének kancellári körlevél szerinti főtáblája (Ft-ban)</oddHeader>
  </headerFooter>
  <ignoredErrors>
    <ignoredError sqref="J202 J271 J368 N113 N116 J92:L97 J149:L151 J104:L118 K98:L98 J200:L200 K498 J128:L129 J99:L100 J140:L144 J137:L138 E191 J91:L91 J121 AF186 AO267 I178 K131:L132 K130:L130 J208 I266 AB156 J102:L102 K101:L101 K500:K503 AM266 AN187" formula="1"/>
  </ignoredError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64"/>
  <sheetViews>
    <sheetView topLeftCell="A45" zoomScale="80" zoomScaleNormal="80" workbookViewId="0"/>
  </sheetViews>
  <sheetFormatPr defaultRowHeight="15.6" x14ac:dyDescent="0.3"/>
  <cols>
    <col min="1" max="1" width="20.88671875" customWidth="1"/>
    <col min="2" max="2" width="26.21875" customWidth="1"/>
    <col min="3" max="3" width="14.44140625" customWidth="1"/>
    <col min="4" max="4" width="21.33203125" customWidth="1"/>
    <col min="5" max="5" width="12.21875" customWidth="1"/>
    <col min="6" max="6" width="20" customWidth="1"/>
    <col min="7" max="7" width="19.33203125" style="17" customWidth="1"/>
    <col min="8" max="8" width="12.44140625" customWidth="1"/>
    <col min="9" max="9" width="8.88671875" customWidth="1"/>
    <col min="10" max="10" width="15.44140625" customWidth="1"/>
    <col min="11" max="11" width="18.21875" style="63" customWidth="1"/>
    <col min="12" max="12" width="14.109375" customWidth="1"/>
    <col min="13" max="14" width="17.109375" bestFit="1" customWidth="1"/>
    <col min="15" max="15" width="14.44140625" bestFit="1" customWidth="1"/>
  </cols>
  <sheetData>
    <row r="1" spans="1:18" ht="25.8" x14ac:dyDescent="0.5">
      <c r="A1" s="329" t="s">
        <v>3290</v>
      </c>
    </row>
    <row r="3" spans="1:18" ht="158.4" x14ac:dyDescent="0.3">
      <c r="A3" s="69" t="s">
        <v>3291</v>
      </c>
      <c r="B3" s="69"/>
      <c r="C3" s="69" t="s">
        <v>3127</v>
      </c>
      <c r="D3" s="69"/>
      <c r="E3" s="69"/>
      <c r="F3" s="69"/>
      <c r="G3" s="69" t="s">
        <v>3292</v>
      </c>
      <c r="H3" s="69"/>
      <c r="I3" s="69"/>
      <c r="J3" s="330"/>
      <c r="K3" s="1202" t="s">
        <v>3293</v>
      </c>
      <c r="L3" s="1202" t="s">
        <v>3294</v>
      </c>
      <c r="M3" s="1202" t="s">
        <v>3295</v>
      </c>
      <c r="N3" s="1202" t="s">
        <v>3296</v>
      </c>
    </row>
    <row r="4" spans="1:18" ht="28.8" x14ac:dyDescent="0.3">
      <c r="A4" s="69" t="s">
        <v>913</v>
      </c>
      <c r="B4" s="69" t="s">
        <v>3297</v>
      </c>
      <c r="C4" s="69" t="s">
        <v>3298</v>
      </c>
      <c r="D4" s="69" t="s">
        <v>3299</v>
      </c>
      <c r="E4" s="69" t="s">
        <v>3300</v>
      </c>
      <c r="F4" s="69" t="s">
        <v>745</v>
      </c>
      <c r="G4" s="69" t="s">
        <v>3301</v>
      </c>
      <c r="H4" s="69" t="s">
        <v>3302</v>
      </c>
      <c r="I4" s="69" t="s">
        <v>3300</v>
      </c>
      <c r="J4" s="330" t="s">
        <v>2602</v>
      </c>
      <c r="K4" s="1202"/>
      <c r="L4" s="1202"/>
      <c r="M4" s="1202"/>
      <c r="N4" s="1202"/>
    </row>
    <row r="5" spans="1:18" x14ac:dyDescent="0.3">
      <c r="A5" t="s">
        <v>914</v>
      </c>
      <c r="B5" t="s">
        <v>69</v>
      </c>
      <c r="C5" s="302">
        <v>-18300</v>
      </c>
      <c r="D5" s="302"/>
      <c r="E5" s="302"/>
      <c r="F5" s="302">
        <v>-18300</v>
      </c>
      <c r="G5" s="331">
        <v>227468.99999999997</v>
      </c>
      <c r="H5" s="302">
        <v>0</v>
      </c>
      <c r="I5" s="302">
        <v>0</v>
      </c>
      <c r="J5" s="302">
        <v>227468.99999999997</v>
      </c>
      <c r="K5" s="302">
        <v>0</v>
      </c>
      <c r="L5" s="302">
        <v>5229106.7231355822</v>
      </c>
      <c r="M5" s="302">
        <v>5456575.7231355822</v>
      </c>
      <c r="N5" s="302">
        <v>5229106.7231355822</v>
      </c>
    </row>
    <row r="6" spans="1:18" x14ac:dyDescent="0.3">
      <c r="A6" t="s">
        <v>914</v>
      </c>
      <c r="B6" t="s">
        <v>3303</v>
      </c>
      <c r="C6" s="302">
        <v>-26600</v>
      </c>
      <c r="D6" s="302"/>
      <c r="E6" s="302"/>
      <c r="F6" s="302">
        <v>-26600</v>
      </c>
      <c r="G6" s="331">
        <v>330637.99999999994</v>
      </c>
      <c r="H6" s="302">
        <v>0</v>
      </c>
      <c r="I6" s="302">
        <v>0</v>
      </c>
      <c r="J6" s="302">
        <v>330637.99999999994</v>
      </c>
      <c r="K6" s="302">
        <v>0</v>
      </c>
      <c r="L6" s="302">
        <v>0</v>
      </c>
      <c r="M6" s="302">
        <v>330637.99999999994</v>
      </c>
      <c r="N6" s="302">
        <v>0</v>
      </c>
    </row>
    <row r="7" spans="1:18" x14ac:dyDescent="0.3">
      <c r="A7" t="s">
        <v>914</v>
      </c>
      <c r="B7" t="s">
        <v>3304</v>
      </c>
      <c r="C7" s="302">
        <v>-2500</v>
      </c>
      <c r="D7" s="302"/>
      <c r="E7" s="302"/>
      <c r="F7" s="302">
        <v>-2500</v>
      </c>
      <c r="G7" s="331">
        <v>31074.999999999996</v>
      </c>
      <c r="H7" s="302">
        <v>0</v>
      </c>
      <c r="I7" s="302">
        <v>0</v>
      </c>
      <c r="J7" s="302">
        <v>31074.999999999996</v>
      </c>
      <c r="K7" s="302">
        <v>0</v>
      </c>
      <c r="L7" s="302">
        <v>0</v>
      </c>
      <c r="M7" s="302">
        <v>31074.999999999996</v>
      </c>
      <c r="N7" s="302">
        <v>0</v>
      </c>
      <c r="P7" s="332"/>
      <c r="Q7" s="332"/>
      <c r="R7" s="332"/>
    </row>
    <row r="8" spans="1:18" x14ac:dyDescent="0.3">
      <c r="A8" t="s">
        <v>914</v>
      </c>
      <c r="B8" t="s">
        <v>3305</v>
      </c>
      <c r="C8" s="302">
        <v>-6400</v>
      </c>
      <c r="D8" s="302"/>
      <c r="E8" s="302"/>
      <c r="F8" s="302">
        <v>-6400</v>
      </c>
      <c r="G8" s="331">
        <v>79551.999999999985</v>
      </c>
      <c r="H8" s="302">
        <v>0</v>
      </c>
      <c r="I8" s="302">
        <v>0</v>
      </c>
      <c r="J8" s="302">
        <v>79551.999999999985</v>
      </c>
      <c r="K8" s="302">
        <v>0</v>
      </c>
      <c r="L8" s="302">
        <v>0</v>
      </c>
      <c r="M8" s="302">
        <v>79551.999999999985</v>
      </c>
      <c r="N8" s="302">
        <v>0</v>
      </c>
      <c r="P8" s="332"/>
      <c r="Q8" s="332"/>
      <c r="R8" s="332"/>
    </row>
    <row r="9" spans="1:18" x14ac:dyDescent="0.3">
      <c r="A9" t="s">
        <v>914</v>
      </c>
      <c r="B9" t="s">
        <v>3306</v>
      </c>
      <c r="C9" s="302">
        <v>-2500</v>
      </c>
      <c r="D9" s="302"/>
      <c r="E9" s="302"/>
      <c r="F9" s="302">
        <v>-2500</v>
      </c>
      <c r="G9" s="331">
        <v>31074.999999999996</v>
      </c>
      <c r="H9" s="302">
        <v>0</v>
      </c>
      <c r="I9" s="302">
        <v>0</v>
      </c>
      <c r="J9" s="302">
        <v>31074.999999999996</v>
      </c>
      <c r="K9" s="302">
        <v>0</v>
      </c>
      <c r="L9" s="302">
        <v>0</v>
      </c>
      <c r="M9" s="302">
        <v>31074.999999999996</v>
      </c>
      <c r="N9" s="302">
        <v>0</v>
      </c>
      <c r="P9" s="332"/>
      <c r="Q9" s="332"/>
      <c r="R9" s="332"/>
    </row>
    <row r="10" spans="1:18" x14ac:dyDescent="0.3">
      <c r="A10" t="s">
        <v>914</v>
      </c>
      <c r="B10" t="s">
        <v>3307</v>
      </c>
      <c r="C10" s="302">
        <v>-5000</v>
      </c>
      <c r="D10" s="302"/>
      <c r="E10" s="302"/>
      <c r="F10" s="302">
        <v>-5000</v>
      </c>
      <c r="G10" s="331">
        <v>62149.999999999993</v>
      </c>
      <c r="H10" s="302">
        <v>0</v>
      </c>
      <c r="I10" s="302">
        <v>0</v>
      </c>
      <c r="J10" s="302">
        <v>62149.999999999993</v>
      </c>
      <c r="K10" s="302">
        <v>0</v>
      </c>
      <c r="L10" s="302">
        <v>0</v>
      </c>
      <c r="M10" s="302">
        <v>62149.999999999993</v>
      </c>
      <c r="N10" s="302">
        <v>0</v>
      </c>
      <c r="O10" s="1"/>
      <c r="P10" s="332"/>
      <c r="Q10" s="332"/>
      <c r="R10" s="332"/>
    </row>
    <row r="11" spans="1:18" x14ac:dyDescent="0.3">
      <c r="A11" t="s">
        <v>914</v>
      </c>
      <c r="B11" t="s">
        <v>3308</v>
      </c>
      <c r="C11" s="302">
        <v>-2500</v>
      </c>
      <c r="D11" s="302"/>
      <c r="E11" s="302"/>
      <c r="F11" s="302">
        <v>-2500</v>
      </c>
      <c r="G11" s="331">
        <v>31074.999999999996</v>
      </c>
      <c r="H11" s="302">
        <v>0</v>
      </c>
      <c r="I11" s="302">
        <v>0</v>
      </c>
      <c r="J11" s="302">
        <v>31074.999999999996</v>
      </c>
      <c r="K11" s="302">
        <v>0</v>
      </c>
      <c r="L11" s="302">
        <v>0</v>
      </c>
      <c r="M11" s="302">
        <v>31074.999999999996</v>
      </c>
      <c r="N11" s="302">
        <v>0</v>
      </c>
      <c r="P11" s="163"/>
      <c r="Q11" s="332"/>
      <c r="R11" s="332"/>
    </row>
    <row r="12" spans="1:18" x14ac:dyDescent="0.3">
      <c r="A12" t="s">
        <v>914</v>
      </c>
      <c r="B12" t="s">
        <v>3309</v>
      </c>
      <c r="C12" s="302">
        <v>-2600</v>
      </c>
      <c r="D12" s="302"/>
      <c r="E12" s="302"/>
      <c r="F12" s="302">
        <v>-2600</v>
      </c>
      <c r="G12" s="331">
        <v>32317.999999999996</v>
      </c>
      <c r="H12" s="302">
        <v>0</v>
      </c>
      <c r="I12" s="302">
        <v>0</v>
      </c>
      <c r="J12" s="302">
        <v>32317.999999999996</v>
      </c>
      <c r="K12" s="302">
        <v>0</v>
      </c>
      <c r="L12" s="302">
        <v>0</v>
      </c>
      <c r="M12" s="302">
        <v>32317.999999999996</v>
      </c>
      <c r="N12" s="302">
        <v>0</v>
      </c>
      <c r="P12" s="163"/>
      <c r="Q12" s="332"/>
      <c r="R12" s="332"/>
    </row>
    <row r="13" spans="1:18" x14ac:dyDescent="0.3">
      <c r="A13" t="s">
        <v>914</v>
      </c>
      <c r="B13" t="s">
        <v>3310</v>
      </c>
      <c r="C13" s="302"/>
      <c r="D13" s="302"/>
      <c r="E13" s="302"/>
      <c r="F13" s="302"/>
      <c r="G13" s="331"/>
      <c r="H13" s="302"/>
      <c r="I13" s="302"/>
      <c r="J13" s="302"/>
      <c r="K13" s="302">
        <v>143451</v>
      </c>
      <c r="L13" s="302">
        <v>0</v>
      </c>
      <c r="M13" s="302">
        <v>143451</v>
      </c>
      <c r="N13" s="302">
        <v>143451</v>
      </c>
      <c r="P13" s="332"/>
      <c r="Q13" s="332"/>
      <c r="R13" s="332"/>
    </row>
    <row r="14" spans="1:18" x14ac:dyDescent="0.3">
      <c r="A14" t="s">
        <v>914</v>
      </c>
      <c r="B14" t="s">
        <v>91</v>
      </c>
      <c r="C14" s="302"/>
      <c r="D14" s="302"/>
      <c r="E14" s="333"/>
      <c r="F14" s="302"/>
      <c r="G14" s="331"/>
      <c r="H14" s="302"/>
      <c r="I14" s="302"/>
      <c r="J14" s="302"/>
      <c r="K14" s="302"/>
      <c r="L14" s="302">
        <v>464286.48073666997</v>
      </c>
      <c r="M14" s="302">
        <v>464286.48073666997</v>
      </c>
      <c r="N14" s="302">
        <v>464286.48073666997</v>
      </c>
      <c r="P14" s="163"/>
      <c r="Q14" s="332"/>
      <c r="R14" s="332"/>
    </row>
    <row r="15" spans="1:18" x14ac:dyDescent="0.3">
      <c r="A15" t="s">
        <v>914</v>
      </c>
      <c r="B15" t="s">
        <v>71</v>
      </c>
      <c r="C15" s="302"/>
      <c r="D15" s="302"/>
      <c r="E15" s="302"/>
      <c r="F15" s="302"/>
      <c r="G15" s="331"/>
      <c r="H15" s="302"/>
      <c r="I15" s="302"/>
      <c r="J15" s="302"/>
      <c r="K15" s="302"/>
      <c r="L15" s="302">
        <v>1037690.9822916355</v>
      </c>
      <c r="M15" s="302">
        <v>1037690.9822916355</v>
      </c>
      <c r="N15" s="302">
        <v>1037690.9822916355</v>
      </c>
      <c r="P15" s="163"/>
      <c r="Q15" s="332"/>
      <c r="R15" s="332"/>
    </row>
    <row r="16" spans="1:18" x14ac:dyDescent="0.3">
      <c r="A16" t="s">
        <v>916</v>
      </c>
      <c r="C16" s="302">
        <v>-66400</v>
      </c>
      <c r="D16" s="302"/>
      <c r="E16" s="302"/>
      <c r="F16" s="302">
        <v>-66400</v>
      </c>
      <c r="G16" s="331">
        <v>825351.99999999988</v>
      </c>
      <c r="H16" s="302">
        <v>0</v>
      </c>
      <c r="I16" s="302">
        <v>0</v>
      </c>
      <c r="J16" s="302">
        <v>825351.99999999988</v>
      </c>
      <c r="K16" s="302">
        <v>143451</v>
      </c>
      <c r="L16" s="302">
        <v>6731084.1861638883</v>
      </c>
      <c r="M16" s="302">
        <v>7699887.1861638883</v>
      </c>
      <c r="N16" s="302">
        <v>6874535.1861638883</v>
      </c>
      <c r="P16" s="163"/>
      <c r="Q16" s="332"/>
      <c r="R16" s="332"/>
    </row>
    <row r="17" spans="1:18" x14ac:dyDescent="0.3">
      <c r="A17" t="s">
        <v>917</v>
      </c>
      <c r="B17" t="s">
        <v>72</v>
      </c>
      <c r="C17" s="302"/>
      <c r="D17" s="302"/>
      <c r="E17" s="302"/>
      <c r="F17" s="302"/>
      <c r="G17" s="331"/>
      <c r="H17" s="302"/>
      <c r="I17" s="302"/>
      <c r="J17" s="302"/>
      <c r="K17" s="302"/>
      <c r="L17" s="302">
        <v>1861425.0610179852</v>
      </c>
      <c r="M17" s="302">
        <v>1861425.0610179852</v>
      </c>
      <c r="N17" s="302">
        <v>1861425.0610179852</v>
      </c>
      <c r="O17" s="1"/>
      <c r="P17" s="332"/>
      <c r="Q17" s="332"/>
      <c r="R17" s="332"/>
    </row>
    <row r="18" spans="1:18" x14ac:dyDescent="0.3">
      <c r="A18" t="s">
        <v>917</v>
      </c>
      <c r="B18" t="s">
        <v>70</v>
      </c>
      <c r="C18" s="302"/>
      <c r="D18" s="302"/>
      <c r="E18" s="302"/>
      <c r="F18" s="302"/>
      <c r="G18" s="331"/>
      <c r="H18" s="302"/>
      <c r="I18" s="302"/>
      <c r="J18" s="302"/>
      <c r="K18" s="302"/>
      <c r="L18" s="302">
        <v>556287.9492697427</v>
      </c>
      <c r="M18" s="302">
        <v>556287.9492697427</v>
      </c>
      <c r="N18" s="302">
        <v>556287.9492697427</v>
      </c>
    </row>
    <row r="19" spans="1:18" x14ac:dyDescent="0.3">
      <c r="A19" s="334" t="s">
        <v>918</v>
      </c>
      <c r="B19" s="334" t="s">
        <v>134</v>
      </c>
      <c r="C19" s="335"/>
      <c r="D19" s="335"/>
      <c r="E19" s="335"/>
      <c r="F19" s="335"/>
      <c r="G19" s="335"/>
      <c r="H19" s="335"/>
      <c r="I19" s="335"/>
      <c r="J19" s="336"/>
      <c r="K19" s="335"/>
      <c r="L19" s="335">
        <v>2417713.0102877282</v>
      </c>
      <c r="M19" s="335">
        <v>2417713.0102877282</v>
      </c>
      <c r="N19" s="335">
        <v>2417713.0102877282</v>
      </c>
    </row>
    <row r="20" spans="1:18" x14ac:dyDescent="0.3">
      <c r="A20" t="s">
        <v>919</v>
      </c>
      <c r="B20" t="s">
        <v>921</v>
      </c>
      <c r="C20" s="302"/>
      <c r="D20" s="302"/>
      <c r="E20" s="302"/>
      <c r="F20" s="302"/>
      <c r="G20" s="331"/>
      <c r="H20" s="302"/>
      <c r="I20" s="302"/>
      <c r="J20" s="302"/>
      <c r="K20" s="302"/>
      <c r="L20" s="302">
        <v>834431.92390461429</v>
      </c>
      <c r="M20" s="302">
        <v>834431.92390461429</v>
      </c>
      <c r="N20" s="302">
        <v>834431.92390461429</v>
      </c>
    </row>
    <row r="21" spans="1:18" x14ac:dyDescent="0.3">
      <c r="A21" t="s">
        <v>919</v>
      </c>
      <c r="B21" t="s">
        <v>905</v>
      </c>
      <c r="C21" s="302"/>
      <c r="D21" s="302"/>
      <c r="E21" s="302"/>
      <c r="F21" s="302"/>
      <c r="G21" s="331"/>
      <c r="H21" s="302"/>
      <c r="I21" s="302"/>
      <c r="J21" s="302"/>
      <c r="K21" s="302">
        <v>116424</v>
      </c>
      <c r="L21" s="302">
        <v>970385.7223898418</v>
      </c>
      <c r="M21" s="302">
        <v>1086809.7223898419</v>
      </c>
      <c r="N21" s="302">
        <v>1086809.7223898419</v>
      </c>
    </row>
    <row r="22" spans="1:18" x14ac:dyDescent="0.3">
      <c r="A22" t="s">
        <v>919</v>
      </c>
      <c r="B22" t="s">
        <v>3311</v>
      </c>
      <c r="C22" s="302">
        <v>-17900</v>
      </c>
      <c r="D22" s="302"/>
      <c r="E22" s="302"/>
      <c r="F22" s="302">
        <v>-17900</v>
      </c>
      <c r="G22" s="331">
        <v>222496.99999999997</v>
      </c>
      <c r="H22" s="302">
        <v>0</v>
      </c>
      <c r="I22" s="302">
        <v>0</v>
      </c>
      <c r="J22" s="302">
        <v>222496.99999999997</v>
      </c>
      <c r="K22" s="302">
        <v>116424</v>
      </c>
      <c r="L22" s="302">
        <v>0</v>
      </c>
      <c r="M22" s="302">
        <v>338921</v>
      </c>
      <c r="N22" s="302">
        <v>116424</v>
      </c>
    </row>
    <row r="23" spans="1:18" x14ac:dyDescent="0.3">
      <c r="A23" t="s">
        <v>919</v>
      </c>
      <c r="B23" t="s">
        <v>3312</v>
      </c>
      <c r="C23" s="302">
        <v>-4100</v>
      </c>
      <c r="D23" s="302"/>
      <c r="E23" s="302"/>
      <c r="F23" s="302">
        <v>-4100</v>
      </c>
      <c r="G23" s="331">
        <v>50962.999999999993</v>
      </c>
      <c r="H23" s="302">
        <v>0</v>
      </c>
      <c r="I23" s="302">
        <v>0</v>
      </c>
      <c r="J23" s="302">
        <v>50962.999999999993</v>
      </c>
      <c r="K23" s="302">
        <v>54054</v>
      </c>
      <c r="L23" s="302">
        <v>0</v>
      </c>
      <c r="M23" s="302">
        <v>105017</v>
      </c>
      <c r="N23" s="302">
        <v>54054</v>
      </c>
    </row>
    <row r="24" spans="1:18" x14ac:dyDescent="0.3">
      <c r="A24" t="s">
        <v>919</v>
      </c>
      <c r="B24" t="s">
        <v>3313</v>
      </c>
      <c r="C24" s="302">
        <v>-14700</v>
      </c>
      <c r="D24" s="302"/>
      <c r="E24" s="302"/>
      <c r="F24" s="302">
        <v>-14700</v>
      </c>
      <c r="G24" s="331">
        <v>182720.99999999997</v>
      </c>
      <c r="H24" s="302">
        <v>0</v>
      </c>
      <c r="I24" s="302">
        <v>0</v>
      </c>
      <c r="J24" s="302">
        <v>182720.99999999997</v>
      </c>
      <c r="K24" s="302">
        <v>0</v>
      </c>
      <c r="L24" s="302">
        <v>0</v>
      </c>
      <c r="M24" s="302">
        <v>182720.99999999997</v>
      </c>
      <c r="N24" s="302">
        <v>0</v>
      </c>
    </row>
    <row r="25" spans="1:18" x14ac:dyDescent="0.3">
      <c r="A25" t="s">
        <v>919</v>
      </c>
      <c r="B25" t="s">
        <v>3314</v>
      </c>
      <c r="C25" s="302">
        <v>-81900</v>
      </c>
      <c r="D25" s="302"/>
      <c r="E25" s="302"/>
      <c r="F25" s="302">
        <v>-81900</v>
      </c>
      <c r="G25" s="331">
        <v>1018016.9999999999</v>
      </c>
      <c r="H25" s="302">
        <v>0</v>
      </c>
      <c r="I25" s="302">
        <v>0</v>
      </c>
      <c r="J25" s="302">
        <v>1018016.9999999999</v>
      </c>
      <c r="K25" s="302">
        <v>0</v>
      </c>
      <c r="L25" s="302">
        <v>0</v>
      </c>
      <c r="M25" s="302">
        <v>1018016.9999999999</v>
      </c>
      <c r="N25" s="302">
        <v>0</v>
      </c>
      <c r="O25" s="1"/>
    </row>
    <row r="26" spans="1:18" x14ac:dyDescent="0.3">
      <c r="A26" s="334" t="s">
        <v>923</v>
      </c>
      <c r="B26" s="334"/>
      <c r="C26" s="335">
        <v>-118600</v>
      </c>
      <c r="D26" s="335"/>
      <c r="E26" s="335"/>
      <c r="F26" s="335">
        <v>-118600</v>
      </c>
      <c r="G26" s="335">
        <v>1474197.9999999998</v>
      </c>
      <c r="H26" s="335">
        <v>0</v>
      </c>
      <c r="I26" s="335">
        <v>0</v>
      </c>
      <c r="J26" s="336">
        <v>1474197.9999999998</v>
      </c>
      <c r="K26" s="335">
        <v>286902</v>
      </c>
      <c r="L26" s="335">
        <v>1804817.646294456</v>
      </c>
      <c r="M26" s="335">
        <v>3565917.646294456</v>
      </c>
      <c r="N26" s="335">
        <v>2091719.646294456</v>
      </c>
    </row>
    <row r="27" spans="1:18" hidden="1" x14ac:dyDescent="0.3">
      <c r="A27" t="s">
        <v>924</v>
      </c>
      <c r="B27" t="s">
        <v>925</v>
      </c>
      <c r="C27" s="302"/>
      <c r="D27" s="302"/>
      <c r="E27" s="302"/>
      <c r="F27" s="302"/>
      <c r="G27" s="331"/>
      <c r="H27" s="302"/>
      <c r="I27" s="302"/>
      <c r="J27" s="302"/>
      <c r="K27" s="302"/>
      <c r="L27" s="302">
        <v>1133971.588896014</v>
      </c>
      <c r="M27" s="302">
        <v>1133971.588896014</v>
      </c>
      <c r="N27" s="302">
        <v>1133971.588896014</v>
      </c>
    </row>
    <row r="28" spans="1:18" x14ac:dyDescent="0.3">
      <c r="A28" t="s">
        <v>924</v>
      </c>
      <c r="B28" t="s">
        <v>901</v>
      </c>
      <c r="C28" s="302"/>
      <c r="D28" s="302"/>
      <c r="E28" s="302"/>
      <c r="F28" s="302"/>
      <c r="G28" s="331"/>
      <c r="H28" s="302"/>
      <c r="I28" s="302"/>
      <c r="J28" s="302"/>
      <c r="K28" s="302"/>
      <c r="L28" s="302">
        <v>64187.071069585698</v>
      </c>
      <c r="M28" s="302">
        <v>64187.071069585698</v>
      </c>
      <c r="N28" s="302">
        <v>64187.071069585698</v>
      </c>
    </row>
    <row r="29" spans="1:18" x14ac:dyDescent="0.3">
      <c r="A29" t="s">
        <v>924</v>
      </c>
      <c r="B29" t="s">
        <v>926</v>
      </c>
      <c r="C29" s="302"/>
      <c r="D29" s="302"/>
      <c r="E29" s="302"/>
      <c r="F29" s="302"/>
      <c r="G29" s="331"/>
      <c r="H29" s="302"/>
      <c r="I29" s="302"/>
      <c r="J29" s="302"/>
      <c r="K29" s="302"/>
      <c r="L29" s="302">
        <v>145490.69442439423</v>
      </c>
      <c r="M29" s="302">
        <v>145490.69442439423</v>
      </c>
      <c r="N29" s="302">
        <v>145490.69442439423</v>
      </c>
    </row>
    <row r="30" spans="1:18" x14ac:dyDescent="0.3">
      <c r="A30" s="334" t="s">
        <v>927</v>
      </c>
      <c r="B30" s="334"/>
      <c r="C30" s="335"/>
      <c r="D30" s="335"/>
      <c r="E30" s="335"/>
      <c r="F30" s="335"/>
      <c r="G30" s="335"/>
      <c r="H30" s="335"/>
      <c r="I30" s="335"/>
      <c r="J30" s="336"/>
      <c r="K30" s="335"/>
      <c r="L30" s="335">
        <v>1343649.3543899939</v>
      </c>
      <c r="M30" s="335">
        <v>1343649.3543899939</v>
      </c>
      <c r="N30" s="335">
        <v>1343649.3543899939</v>
      </c>
    </row>
    <row r="31" spans="1:18" x14ac:dyDescent="0.3">
      <c r="A31" t="s">
        <v>928</v>
      </c>
      <c r="B31" t="s">
        <v>3315</v>
      </c>
      <c r="C31" s="302">
        <v>-9800</v>
      </c>
      <c r="D31" s="302"/>
      <c r="E31" s="302"/>
      <c r="F31" s="302">
        <v>-9800</v>
      </c>
      <c r="G31" s="331">
        <v>121813.99999999999</v>
      </c>
      <c r="H31" s="302">
        <v>0</v>
      </c>
      <c r="I31" s="302">
        <v>0</v>
      </c>
      <c r="J31" s="302">
        <v>121813.99999999999</v>
      </c>
      <c r="K31" s="302">
        <v>0</v>
      </c>
      <c r="L31" s="302">
        <v>0</v>
      </c>
      <c r="M31" s="302">
        <v>121813.99999999999</v>
      </c>
      <c r="N31" s="302">
        <v>0</v>
      </c>
    </row>
    <row r="32" spans="1:18" x14ac:dyDescent="0.3">
      <c r="A32" t="s">
        <v>928</v>
      </c>
      <c r="B32" t="s">
        <v>930</v>
      </c>
      <c r="C32" s="302">
        <v>-8100</v>
      </c>
      <c r="D32" s="302"/>
      <c r="E32" s="302"/>
      <c r="F32" s="302">
        <v>-8100</v>
      </c>
      <c r="G32" s="331">
        <v>100682.99999999999</v>
      </c>
      <c r="H32" s="302">
        <v>0</v>
      </c>
      <c r="I32" s="302">
        <v>0</v>
      </c>
      <c r="J32" s="302">
        <v>100682.99999999999</v>
      </c>
      <c r="K32" s="302">
        <v>5544</v>
      </c>
      <c r="L32" s="302">
        <v>1861425.0610179852</v>
      </c>
      <c r="M32" s="302">
        <v>1967652.0610179852</v>
      </c>
      <c r="N32" s="302">
        <v>1866969.0610179852</v>
      </c>
    </row>
    <row r="33" spans="1:15" x14ac:dyDescent="0.3">
      <c r="A33" t="s">
        <v>928</v>
      </c>
      <c r="B33" t="s">
        <v>3316</v>
      </c>
      <c r="C33" s="302">
        <v>-8100</v>
      </c>
      <c r="D33" s="302"/>
      <c r="E33" s="302"/>
      <c r="F33" s="302">
        <v>-8100</v>
      </c>
      <c r="G33" s="331">
        <v>100682.99999999999</v>
      </c>
      <c r="H33" s="302">
        <v>0</v>
      </c>
      <c r="I33" s="302">
        <v>0</v>
      </c>
      <c r="J33" s="302">
        <v>100682.99999999999</v>
      </c>
      <c r="K33" s="302">
        <v>5544</v>
      </c>
      <c r="L33" s="302">
        <v>0</v>
      </c>
      <c r="M33" s="302">
        <v>106226.99999999999</v>
      </c>
      <c r="N33" s="302">
        <v>5544</v>
      </c>
    </row>
    <row r="34" spans="1:15" x14ac:dyDescent="0.3">
      <c r="A34" t="s">
        <v>928</v>
      </c>
      <c r="B34" t="s">
        <v>3317</v>
      </c>
      <c r="C34" s="302">
        <v>-38200</v>
      </c>
      <c r="D34" s="302"/>
      <c r="E34" s="302"/>
      <c r="F34" s="302">
        <v>-38200</v>
      </c>
      <c r="G34" s="331">
        <v>474825.99999999994</v>
      </c>
      <c r="H34" s="302">
        <v>0</v>
      </c>
      <c r="I34" s="302">
        <v>0</v>
      </c>
      <c r="J34" s="302">
        <v>474825.99999999994</v>
      </c>
      <c r="K34" s="302">
        <v>0</v>
      </c>
      <c r="L34" s="302">
        <v>0</v>
      </c>
      <c r="M34" s="302">
        <v>474825.99999999994</v>
      </c>
      <c r="N34" s="302">
        <v>0</v>
      </c>
      <c r="O34" s="1"/>
    </row>
    <row r="35" spans="1:15" x14ac:dyDescent="0.3">
      <c r="A35" t="s">
        <v>928</v>
      </c>
      <c r="B35" t="s">
        <v>900</v>
      </c>
      <c r="C35" s="302">
        <v>-45700</v>
      </c>
      <c r="D35" s="302"/>
      <c r="E35" s="302"/>
      <c r="F35" s="302">
        <v>-45700</v>
      </c>
      <c r="G35" s="331">
        <v>568051</v>
      </c>
      <c r="H35" s="302">
        <v>0</v>
      </c>
      <c r="I35" s="302">
        <v>0</v>
      </c>
      <c r="J35" s="302">
        <v>568051</v>
      </c>
      <c r="K35" s="302">
        <v>136831.6551724138</v>
      </c>
      <c r="L35" s="302">
        <v>21687852.197259095</v>
      </c>
      <c r="M35" s="302">
        <v>22392734.85243151</v>
      </c>
      <c r="N35" s="302">
        <v>21824683.85243151</v>
      </c>
    </row>
    <row r="36" spans="1:15" x14ac:dyDescent="0.3">
      <c r="A36" t="s">
        <v>928</v>
      </c>
      <c r="B36" t="s">
        <v>3318</v>
      </c>
      <c r="C36" s="302">
        <v>-104400</v>
      </c>
      <c r="D36" s="302"/>
      <c r="E36" s="302"/>
      <c r="F36" s="302">
        <v>-104400</v>
      </c>
      <c r="G36" s="331">
        <v>1297691.9999999998</v>
      </c>
      <c r="H36" s="302">
        <v>0</v>
      </c>
      <c r="I36" s="302">
        <v>0</v>
      </c>
      <c r="J36" s="302">
        <v>1297691.9999999998</v>
      </c>
      <c r="K36" s="302">
        <v>232848</v>
      </c>
      <c r="L36" s="302">
        <v>0</v>
      </c>
      <c r="M36" s="302">
        <v>1530539.9999999998</v>
      </c>
      <c r="N36" s="302">
        <v>232848</v>
      </c>
    </row>
    <row r="37" spans="1:15" x14ac:dyDescent="0.3">
      <c r="A37" t="s">
        <v>928</v>
      </c>
      <c r="B37" t="s">
        <v>933</v>
      </c>
      <c r="C37" s="302">
        <v>-4900</v>
      </c>
      <c r="D37" s="302"/>
      <c r="E37" s="302"/>
      <c r="F37" s="302">
        <v>-4900</v>
      </c>
      <c r="G37" s="331">
        <v>60906.999999999993</v>
      </c>
      <c r="H37" s="302">
        <v>0</v>
      </c>
      <c r="I37" s="302">
        <v>0</v>
      </c>
      <c r="J37" s="302">
        <v>60906.999999999993</v>
      </c>
      <c r="K37" s="302">
        <v>0</v>
      </c>
      <c r="L37" s="302">
        <v>192561.21320875711</v>
      </c>
      <c r="M37" s="302">
        <v>253468.21320875711</v>
      </c>
      <c r="N37" s="302">
        <v>192561.21320875711</v>
      </c>
    </row>
    <row r="38" spans="1:15" x14ac:dyDescent="0.3">
      <c r="A38" t="s">
        <v>928</v>
      </c>
      <c r="B38" t="s">
        <v>3319</v>
      </c>
      <c r="C38" s="302">
        <v>-24500</v>
      </c>
      <c r="D38" s="302"/>
      <c r="E38" s="302"/>
      <c r="F38" s="302">
        <v>-24500</v>
      </c>
      <c r="G38" s="331">
        <v>304535</v>
      </c>
      <c r="H38" s="302">
        <v>0</v>
      </c>
      <c r="I38" s="302">
        <v>0</v>
      </c>
      <c r="J38" s="302">
        <v>304535</v>
      </c>
      <c r="K38" s="302">
        <v>0</v>
      </c>
      <c r="L38" s="302">
        <v>0</v>
      </c>
      <c r="M38" s="302">
        <v>304535</v>
      </c>
      <c r="N38" s="302">
        <v>0</v>
      </c>
    </row>
    <row r="39" spans="1:15" x14ac:dyDescent="0.3">
      <c r="A39" t="s">
        <v>928</v>
      </c>
      <c r="B39" t="s">
        <v>3320</v>
      </c>
      <c r="C39" s="302">
        <v>-24500</v>
      </c>
      <c r="D39" s="302"/>
      <c r="E39" s="302"/>
      <c r="F39" s="302">
        <v>-24500</v>
      </c>
      <c r="G39" s="331">
        <v>304535</v>
      </c>
      <c r="H39" s="302">
        <v>0</v>
      </c>
      <c r="I39" s="302">
        <v>0</v>
      </c>
      <c r="J39" s="302">
        <v>304535</v>
      </c>
      <c r="K39" s="302">
        <v>0</v>
      </c>
      <c r="L39" s="302">
        <v>0</v>
      </c>
      <c r="M39" s="302">
        <v>304535</v>
      </c>
      <c r="N39" s="302">
        <v>0</v>
      </c>
    </row>
    <row r="40" spans="1:15" x14ac:dyDescent="0.3">
      <c r="A40" t="s">
        <v>928</v>
      </c>
      <c r="B40" t="s">
        <v>3321</v>
      </c>
      <c r="C40" s="302">
        <v>-7400</v>
      </c>
      <c r="D40" s="302"/>
      <c r="E40" s="302"/>
      <c r="F40" s="302">
        <v>-7400</v>
      </c>
      <c r="G40" s="331">
        <v>91981.999999999985</v>
      </c>
      <c r="H40" s="302">
        <v>0</v>
      </c>
      <c r="I40" s="302">
        <v>0</v>
      </c>
      <c r="J40" s="302">
        <v>91981.999999999985</v>
      </c>
      <c r="K40" s="302">
        <v>0</v>
      </c>
      <c r="L40" s="302">
        <v>0</v>
      </c>
      <c r="M40" s="302">
        <v>91981.999999999985</v>
      </c>
      <c r="N40" s="302">
        <v>0</v>
      </c>
      <c r="O40" s="1"/>
    </row>
    <row r="41" spans="1:15" x14ac:dyDescent="0.3">
      <c r="A41" t="s">
        <v>928</v>
      </c>
      <c r="B41" t="s">
        <v>3322</v>
      </c>
      <c r="C41" s="302">
        <v>-447500</v>
      </c>
      <c r="D41" s="302"/>
      <c r="E41" s="302"/>
      <c r="F41" s="302">
        <v>-447500</v>
      </c>
      <c r="G41" s="331">
        <v>5562424.9999999991</v>
      </c>
      <c r="H41" s="302">
        <v>0</v>
      </c>
      <c r="I41" s="302">
        <v>0</v>
      </c>
      <c r="J41" s="302">
        <v>5562424.9999999991</v>
      </c>
      <c r="K41" s="302">
        <v>1975050</v>
      </c>
      <c r="L41" s="302">
        <v>0</v>
      </c>
      <c r="M41" s="302">
        <v>7537474.9999999991</v>
      </c>
      <c r="N41" s="302">
        <v>1975050</v>
      </c>
    </row>
    <row r="42" spans="1:15" x14ac:dyDescent="0.3">
      <c r="A42" t="s">
        <v>928</v>
      </c>
      <c r="B42" t="s">
        <v>3323</v>
      </c>
      <c r="C42" s="302">
        <v>-4900</v>
      </c>
      <c r="D42" s="302"/>
      <c r="E42" s="302"/>
      <c r="F42" s="302">
        <v>-4900</v>
      </c>
      <c r="G42" s="331">
        <v>60906.999999999993</v>
      </c>
      <c r="H42" s="302">
        <v>0</v>
      </c>
      <c r="I42" s="302">
        <v>0</v>
      </c>
      <c r="J42" s="302">
        <v>60906.999999999993</v>
      </c>
      <c r="K42" s="302">
        <v>0</v>
      </c>
      <c r="L42" s="302">
        <v>0</v>
      </c>
      <c r="M42" s="302">
        <v>60906.999999999993</v>
      </c>
      <c r="N42" s="302">
        <v>0</v>
      </c>
    </row>
    <row r="43" spans="1:15" x14ac:dyDescent="0.3">
      <c r="A43" t="s">
        <v>928</v>
      </c>
      <c r="B43" t="s">
        <v>3324</v>
      </c>
      <c r="C43" s="302">
        <v>-9800</v>
      </c>
      <c r="D43" s="302"/>
      <c r="E43" s="302"/>
      <c r="F43" s="302">
        <v>-9800</v>
      </c>
      <c r="G43" s="331">
        <v>121813.99999999999</v>
      </c>
      <c r="H43" s="302">
        <v>0</v>
      </c>
      <c r="I43" s="302">
        <v>0</v>
      </c>
      <c r="J43" s="302">
        <v>121813.99999999999</v>
      </c>
      <c r="K43" s="302">
        <v>0</v>
      </c>
      <c r="L43" s="302">
        <v>0</v>
      </c>
      <c r="M43" s="302">
        <v>121813.99999999999</v>
      </c>
      <c r="N43" s="302">
        <v>0</v>
      </c>
    </row>
    <row r="44" spans="1:15" x14ac:dyDescent="0.3">
      <c r="A44" t="s">
        <v>928</v>
      </c>
      <c r="B44" t="s">
        <v>3325</v>
      </c>
      <c r="C44" s="302">
        <v>-14500</v>
      </c>
      <c r="D44" s="302"/>
      <c r="E44" s="302"/>
      <c r="F44" s="302">
        <v>-14500</v>
      </c>
      <c r="G44" s="331">
        <v>180234.99999999997</v>
      </c>
      <c r="H44" s="302">
        <v>0</v>
      </c>
      <c r="I44" s="302">
        <v>0</v>
      </c>
      <c r="J44" s="302">
        <v>180234.99999999997</v>
      </c>
      <c r="K44" s="302">
        <v>116424</v>
      </c>
      <c r="L44" s="302">
        <v>0</v>
      </c>
      <c r="M44" s="302">
        <v>296659</v>
      </c>
      <c r="N44" s="302">
        <v>116424</v>
      </c>
    </row>
    <row r="45" spans="1:15" x14ac:dyDescent="0.3">
      <c r="A45" t="s">
        <v>928</v>
      </c>
      <c r="B45" t="s">
        <v>3326</v>
      </c>
      <c r="C45" s="302">
        <v>-4900</v>
      </c>
      <c r="D45" s="302"/>
      <c r="E45" s="302"/>
      <c r="F45" s="302">
        <v>-4900</v>
      </c>
      <c r="G45" s="331">
        <v>60906.999999999993</v>
      </c>
      <c r="H45" s="302">
        <v>0</v>
      </c>
      <c r="I45" s="302">
        <v>0</v>
      </c>
      <c r="J45" s="302">
        <v>60906.999999999993</v>
      </c>
      <c r="K45" s="302">
        <v>0</v>
      </c>
      <c r="L45" s="302">
        <v>0</v>
      </c>
      <c r="M45" s="302">
        <v>60906.999999999993</v>
      </c>
      <c r="N45" s="302">
        <v>0</v>
      </c>
    </row>
    <row r="46" spans="1:15" x14ac:dyDescent="0.3">
      <c r="A46" t="s">
        <v>928</v>
      </c>
      <c r="B46" t="s">
        <v>3327</v>
      </c>
      <c r="C46" s="302">
        <v>-7400</v>
      </c>
      <c r="D46" s="302"/>
      <c r="E46" s="302"/>
      <c r="F46" s="302">
        <v>-7400</v>
      </c>
      <c r="G46" s="331">
        <v>91981.999999999985</v>
      </c>
      <c r="H46" s="302">
        <v>0</v>
      </c>
      <c r="I46" s="302">
        <v>0</v>
      </c>
      <c r="J46" s="302">
        <v>91981.999999999985</v>
      </c>
      <c r="K46" s="302">
        <v>0</v>
      </c>
      <c r="L46" s="302">
        <v>0</v>
      </c>
      <c r="M46" s="302">
        <v>91981.999999999985</v>
      </c>
      <c r="N46" s="302">
        <v>0</v>
      </c>
      <c r="O46" s="1"/>
    </row>
    <row r="47" spans="1:15" x14ac:dyDescent="0.3">
      <c r="A47" t="s">
        <v>928</v>
      </c>
      <c r="B47" t="s">
        <v>3328</v>
      </c>
      <c r="C47" s="302">
        <v>-16200</v>
      </c>
      <c r="D47" s="302"/>
      <c r="E47" s="302"/>
      <c r="F47" s="302">
        <v>-16200</v>
      </c>
      <c r="G47" s="331">
        <v>201365.99999999997</v>
      </c>
      <c r="H47" s="302">
        <v>0</v>
      </c>
      <c r="I47" s="302">
        <v>0</v>
      </c>
      <c r="J47" s="302">
        <v>201365.99999999997</v>
      </c>
      <c r="K47" s="302">
        <v>121968</v>
      </c>
      <c r="L47" s="302">
        <v>0</v>
      </c>
      <c r="M47" s="302">
        <v>323334</v>
      </c>
      <c r="N47" s="302">
        <v>121968</v>
      </c>
    </row>
    <row r="48" spans="1:15" x14ac:dyDescent="0.3">
      <c r="A48" t="s">
        <v>928</v>
      </c>
      <c r="B48" t="s">
        <v>3329</v>
      </c>
      <c r="C48" s="302">
        <v>-4900</v>
      </c>
      <c r="D48" s="302"/>
      <c r="E48" s="302"/>
      <c r="F48" s="302">
        <v>-4900</v>
      </c>
      <c r="G48" s="331">
        <v>60906.999999999993</v>
      </c>
      <c r="H48" s="302">
        <v>0</v>
      </c>
      <c r="I48" s="302">
        <v>0</v>
      </c>
      <c r="J48" s="302">
        <v>60906.999999999993</v>
      </c>
      <c r="K48" s="302">
        <v>0</v>
      </c>
      <c r="L48" s="302">
        <v>0</v>
      </c>
      <c r="M48" s="302">
        <v>60906.999999999993</v>
      </c>
      <c r="N48" s="302">
        <v>0</v>
      </c>
    </row>
    <row r="49" spans="1:15" x14ac:dyDescent="0.3">
      <c r="A49" t="s">
        <v>928</v>
      </c>
      <c r="B49" t="s">
        <v>3330</v>
      </c>
      <c r="C49" s="302">
        <v>-9800</v>
      </c>
      <c r="D49" s="302"/>
      <c r="E49" s="302"/>
      <c r="F49" s="302">
        <v>-9800</v>
      </c>
      <c r="G49" s="331">
        <v>121813.99999999999</v>
      </c>
      <c r="H49" s="302">
        <v>0</v>
      </c>
      <c r="I49" s="302">
        <v>0</v>
      </c>
      <c r="J49" s="302">
        <v>121813.99999999999</v>
      </c>
      <c r="K49" s="302">
        <v>0</v>
      </c>
      <c r="L49" s="302">
        <v>0</v>
      </c>
      <c r="M49" s="302">
        <v>121813.99999999999</v>
      </c>
      <c r="N49" s="302">
        <v>0</v>
      </c>
    </row>
    <row r="50" spans="1:15" x14ac:dyDescent="0.3">
      <c r="A50" t="s">
        <v>928</v>
      </c>
      <c r="B50" t="s">
        <v>3331</v>
      </c>
      <c r="C50" s="302">
        <v>-7400</v>
      </c>
      <c r="D50" s="302"/>
      <c r="E50" s="302"/>
      <c r="F50" s="302">
        <v>-7400</v>
      </c>
      <c r="G50" s="331">
        <v>91981.999999999985</v>
      </c>
      <c r="H50" s="302">
        <v>0</v>
      </c>
      <c r="I50" s="302">
        <v>0</v>
      </c>
      <c r="J50" s="302">
        <v>91981.999999999985</v>
      </c>
      <c r="K50" s="302">
        <v>0</v>
      </c>
      <c r="L50" s="302">
        <v>0</v>
      </c>
      <c r="M50" s="302">
        <v>91981.999999999985</v>
      </c>
      <c r="N50" s="302">
        <v>0</v>
      </c>
    </row>
    <row r="51" spans="1:15" x14ac:dyDescent="0.3">
      <c r="A51" t="s">
        <v>928</v>
      </c>
      <c r="B51" t="s">
        <v>3332</v>
      </c>
      <c r="C51" s="302">
        <v>-75100</v>
      </c>
      <c r="D51" s="302"/>
      <c r="E51" s="302"/>
      <c r="F51" s="302">
        <v>-75100</v>
      </c>
      <c r="G51" s="331">
        <v>933492.99999999988</v>
      </c>
      <c r="H51" s="302">
        <v>0</v>
      </c>
      <c r="I51" s="302">
        <v>0</v>
      </c>
      <c r="J51" s="302">
        <v>933492.99999999988</v>
      </c>
      <c r="K51" s="302">
        <v>116424</v>
      </c>
      <c r="L51" s="302">
        <v>0</v>
      </c>
      <c r="M51" s="302">
        <v>1049917</v>
      </c>
      <c r="N51" s="302">
        <v>116424</v>
      </c>
      <c r="O51" s="1"/>
    </row>
    <row r="52" spans="1:15" x14ac:dyDescent="0.3">
      <c r="A52" t="s">
        <v>928</v>
      </c>
      <c r="B52" t="s">
        <v>3333</v>
      </c>
      <c r="C52" s="302">
        <v>-19600</v>
      </c>
      <c r="D52" s="302"/>
      <c r="E52" s="302"/>
      <c r="F52" s="302">
        <v>-19600</v>
      </c>
      <c r="G52" s="331">
        <v>243627.99999999997</v>
      </c>
      <c r="H52" s="302">
        <v>0</v>
      </c>
      <c r="I52" s="302">
        <v>0</v>
      </c>
      <c r="J52" s="302">
        <v>243627.99999999997</v>
      </c>
      <c r="K52" s="302">
        <v>0</v>
      </c>
      <c r="L52" s="302">
        <v>0</v>
      </c>
      <c r="M52" s="302">
        <v>243627.99999999997</v>
      </c>
      <c r="N52" s="302">
        <v>0</v>
      </c>
    </row>
    <row r="53" spans="1:15" x14ac:dyDescent="0.3">
      <c r="A53" t="s">
        <v>928</v>
      </c>
      <c r="B53" t="s">
        <v>3334</v>
      </c>
      <c r="C53" s="302">
        <v>-28600</v>
      </c>
      <c r="D53" s="302"/>
      <c r="E53" s="302"/>
      <c r="F53" s="302">
        <v>-28600</v>
      </c>
      <c r="G53" s="331">
        <v>355497.99999999994</v>
      </c>
      <c r="H53" s="302">
        <v>0</v>
      </c>
      <c r="I53" s="302">
        <v>0</v>
      </c>
      <c r="J53" s="302">
        <v>355497.99999999994</v>
      </c>
      <c r="K53" s="302">
        <v>116424</v>
      </c>
      <c r="L53" s="302">
        <v>0</v>
      </c>
      <c r="M53" s="302">
        <v>471921.99999999994</v>
      </c>
      <c r="N53" s="302">
        <v>116424</v>
      </c>
    </row>
    <row r="54" spans="1:15" x14ac:dyDescent="0.3">
      <c r="A54" t="s">
        <v>928</v>
      </c>
      <c r="B54" t="s">
        <v>3335</v>
      </c>
      <c r="C54" s="302">
        <v>-16200</v>
      </c>
      <c r="D54" s="302"/>
      <c r="E54" s="302"/>
      <c r="F54" s="302">
        <v>-16200</v>
      </c>
      <c r="G54" s="331">
        <v>201365.99999999997</v>
      </c>
      <c r="H54" s="302">
        <v>0</v>
      </c>
      <c r="I54" s="302">
        <v>0</v>
      </c>
      <c r="J54" s="302">
        <v>201365.99999999997</v>
      </c>
      <c r="K54" s="302">
        <v>121968</v>
      </c>
      <c r="L54" s="302">
        <v>0</v>
      </c>
      <c r="M54" s="302">
        <v>323334</v>
      </c>
      <c r="N54" s="302">
        <v>121968</v>
      </c>
    </row>
    <row r="55" spans="1:15" hidden="1" x14ac:dyDescent="0.3">
      <c r="A55" t="s">
        <v>928</v>
      </c>
      <c r="B55" t="s">
        <v>931</v>
      </c>
      <c r="C55" s="302"/>
      <c r="D55" s="302"/>
      <c r="E55" s="333"/>
      <c r="F55" s="302"/>
      <c r="G55" s="331"/>
      <c r="H55" s="302"/>
      <c r="I55" s="302"/>
      <c r="J55" s="302"/>
      <c r="K55" s="302"/>
      <c r="L55" s="302">
        <v>620475.02033932845</v>
      </c>
      <c r="M55" s="302">
        <v>620475.02033932845</v>
      </c>
      <c r="N55" s="302">
        <v>620475.02033932845</v>
      </c>
    </row>
    <row r="56" spans="1:15" x14ac:dyDescent="0.3">
      <c r="A56" t="s">
        <v>928</v>
      </c>
      <c r="B56" t="s">
        <v>929</v>
      </c>
      <c r="C56" s="302"/>
      <c r="D56" s="302"/>
      <c r="E56" s="302"/>
      <c r="F56" s="302"/>
      <c r="G56" s="331"/>
      <c r="H56" s="302"/>
      <c r="I56" s="302"/>
      <c r="J56" s="302"/>
      <c r="K56" s="302"/>
      <c r="L56" s="302">
        <v>1403658.4296577503</v>
      </c>
      <c r="M56" s="302">
        <v>1403658.4296577503</v>
      </c>
      <c r="N56" s="302">
        <v>1403658.4296577503</v>
      </c>
    </row>
    <row r="57" spans="1:15" x14ac:dyDescent="0.3">
      <c r="A57" t="s">
        <v>928</v>
      </c>
      <c r="B57" t="s">
        <v>3336</v>
      </c>
      <c r="C57" s="302"/>
      <c r="D57" s="302"/>
      <c r="E57" s="302"/>
      <c r="F57" s="302"/>
      <c r="G57" s="331"/>
      <c r="H57" s="302"/>
      <c r="I57" s="302"/>
      <c r="J57" s="302"/>
      <c r="K57" s="302"/>
      <c r="L57" s="302">
        <v>23869363</v>
      </c>
      <c r="M57" s="302">
        <v>23869363</v>
      </c>
      <c r="N57" s="302">
        <v>23869363</v>
      </c>
    </row>
    <row r="58" spans="1:15" x14ac:dyDescent="0.3">
      <c r="A58" s="334" t="s">
        <v>934</v>
      </c>
      <c r="B58" s="334"/>
      <c r="C58" s="335">
        <v>-942400</v>
      </c>
      <c r="D58" s="335"/>
      <c r="E58" s="335"/>
      <c r="F58" s="335">
        <v>-942400</v>
      </c>
      <c r="G58" s="335">
        <v>11714031.999999998</v>
      </c>
      <c r="H58" s="335">
        <v>0</v>
      </c>
      <c r="I58" s="335">
        <v>0</v>
      </c>
      <c r="J58" s="336">
        <v>11714031.999999998</v>
      </c>
      <c r="K58" s="335">
        <v>2949025.6551724141</v>
      </c>
      <c r="L58" s="335">
        <v>49635334.921482921</v>
      </c>
      <c r="M58" s="335">
        <v>64298392.576655328</v>
      </c>
      <c r="N58" s="335">
        <v>52584360.576655336</v>
      </c>
      <c r="O58" s="1"/>
    </row>
    <row r="59" spans="1:15" x14ac:dyDescent="0.3">
      <c r="A59" t="s">
        <v>935</v>
      </c>
      <c r="B59" t="s">
        <v>936</v>
      </c>
      <c r="C59" s="302"/>
      <c r="D59" s="302"/>
      <c r="E59" s="302"/>
      <c r="F59" s="302"/>
      <c r="G59" s="331"/>
      <c r="H59" s="302"/>
      <c r="I59" s="302"/>
      <c r="J59" s="302"/>
      <c r="K59" s="302">
        <v>47124</v>
      </c>
      <c r="L59" s="302">
        <v>949968.65182986832</v>
      </c>
      <c r="M59" s="302">
        <v>997092.65182986832</v>
      </c>
      <c r="N59" s="302">
        <v>997092.65182986832</v>
      </c>
    </row>
    <row r="60" spans="1:15" x14ac:dyDescent="0.3">
      <c r="A60" s="334" t="s">
        <v>937</v>
      </c>
      <c r="B60" s="334"/>
      <c r="C60" s="335"/>
      <c r="D60" s="335"/>
      <c r="E60" s="335"/>
      <c r="F60" s="335"/>
      <c r="G60" s="335"/>
      <c r="H60" s="335"/>
      <c r="I60" s="335"/>
      <c r="J60" s="336"/>
      <c r="K60" s="335">
        <v>47124</v>
      </c>
      <c r="L60" s="335">
        <v>949968.65182986832</v>
      </c>
      <c r="M60" s="335">
        <v>997092.65182986832</v>
      </c>
      <c r="N60" s="335">
        <v>997092.65182986832</v>
      </c>
    </row>
    <row r="61" spans="1:15" x14ac:dyDescent="0.3">
      <c r="A61" t="s">
        <v>3337</v>
      </c>
      <c r="B61" t="s">
        <v>3338</v>
      </c>
      <c r="C61" s="302">
        <v>-38200</v>
      </c>
      <c r="D61" s="331"/>
      <c r="E61" s="302"/>
      <c r="F61" s="302">
        <v>-38200</v>
      </c>
      <c r="G61" s="331">
        <v>474825.99999999994</v>
      </c>
      <c r="H61" s="302">
        <v>0</v>
      </c>
      <c r="I61" s="302">
        <v>0</v>
      </c>
      <c r="J61" s="302">
        <v>474825.99999999994</v>
      </c>
      <c r="K61" s="302">
        <v>0</v>
      </c>
      <c r="L61" s="302">
        <v>0</v>
      </c>
      <c r="M61" s="302">
        <v>474825.99999999994</v>
      </c>
      <c r="N61" s="302">
        <v>0</v>
      </c>
    </row>
    <row r="62" spans="1:15" x14ac:dyDescent="0.3">
      <c r="A62" s="334" t="s">
        <v>3339</v>
      </c>
      <c r="B62" s="334"/>
      <c r="C62" s="335">
        <v>-38200</v>
      </c>
      <c r="D62" s="335"/>
      <c r="E62" s="335"/>
      <c r="F62" s="335">
        <v>-38200</v>
      </c>
      <c r="G62" s="335">
        <v>474825.99999999994</v>
      </c>
      <c r="H62" s="335">
        <v>0</v>
      </c>
      <c r="I62" s="335">
        <v>0</v>
      </c>
      <c r="J62" s="336">
        <v>474825.99999999994</v>
      </c>
      <c r="K62" s="335">
        <v>0</v>
      </c>
      <c r="L62" s="335">
        <v>0</v>
      </c>
      <c r="M62" s="335">
        <v>474825.99999999994</v>
      </c>
      <c r="N62" s="335">
        <v>0</v>
      </c>
    </row>
    <row r="63" spans="1:15" x14ac:dyDescent="0.3">
      <c r="A63" t="s">
        <v>938</v>
      </c>
      <c r="B63" t="s">
        <v>3340</v>
      </c>
      <c r="C63" s="302">
        <v>-4900</v>
      </c>
      <c r="D63" s="331"/>
      <c r="E63" s="302"/>
      <c r="F63" s="302">
        <v>-4900</v>
      </c>
      <c r="G63" s="331">
        <v>60906.999999999993</v>
      </c>
      <c r="H63" s="302">
        <v>0</v>
      </c>
      <c r="I63" s="302">
        <v>0</v>
      </c>
      <c r="J63" s="302">
        <v>60906.999999999993</v>
      </c>
      <c r="K63" s="302">
        <v>0</v>
      </c>
      <c r="L63" s="302">
        <v>0</v>
      </c>
      <c r="M63" s="302">
        <v>60906.999999999993</v>
      </c>
      <c r="N63" s="302">
        <v>0</v>
      </c>
    </row>
    <row r="64" spans="1:15" x14ac:dyDescent="0.3">
      <c r="A64" t="s">
        <v>938</v>
      </c>
      <c r="B64" t="s">
        <v>941</v>
      </c>
      <c r="C64" s="302">
        <v>-329700</v>
      </c>
      <c r="D64" s="302"/>
      <c r="E64" s="302"/>
      <c r="F64" s="302">
        <v>-329700</v>
      </c>
      <c r="G64" s="331">
        <v>4098170.9999999995</v>
      </c>
      <c r="H64" s="302">
        <v>0</v>
      </c>
      <c r="I64" s="302">
        <v>0</v>
      </c>
      <c r="J64" s="302">
        <v>4098170.9999999995</v>
      </c>
      <c r="K64" s="302">
        <v>1193692.5</v>
      </c>
      <c r="L64" s="302">
        <v>39869799.194873132</v>
      </c>
      <c r="M64" s="302">
        <v>45161662.694873132</v>
      </c>
      <c r="N64" s="302">
        <v>41063491.694873132</v>
      </c>
    </row>
    <row r="65" spans="1:14" hidden="1" x14ac:dyDescent="0.3">
      <c r="A65" t="s">
        <v>938</v>
      </c>
      <c r="B65" t="s">
        <v>895</v>
      </c>
      <c r="C65" s="302">
        <v>-12000</v>
      </c>
      <c r="D65" s="302"/>
      <c r="E65" s="333"/>
      <c r="F65" s="302">
        <v>-12000</v>
      </c>
      <c r="G65" s="331">
        <v>149160</v>
      </c>
      <c r="H65" s="302">
        <v>0</v>
      </c>
      <c r="I65" s="302">
        <v>0</v>
      </c>
      <c r="J65" s="302">
        <v>149160</v>
      </c>
      <c r="K65" s="302">
        <v>0</v>
      </c>
      <c r="L65" s="302">
        <v>1579001.9483118083</v>
      </c>
      <c r="M65" s="302">
        <v>1728161.9483118083</v>
      </c>
      <c r="N65" s="302">
        <v>1579001.9483118083</v>
      </c>
    </row>
    <row r="66" spans="1:14" x14ac:dyDescent="0.3">
      <c r="A66" t="s">
        <v>938</v>
      </c>
      <c r="B66" t="s">
        <v>3341</v>
      </c>
      <c r="C66" s="302">
        <v>-11400</v>
      </c>
      <c r="D66" s="337">
        <v>-4900</v>
      </c>
      <c r="E66" s="333"/>
      <c r="F66" s="302">
        <v>-16300</v>
      </c>
      <c r="G66" s="338">
        <v>141702</v>
      </c>
      <c r="H66" s="302">
        <v>60906.999999999993</v>
      </c>
      <c r="I66" s="302">
        <v>0</v>
      </c>
      <c r="J66" s="302">
        <v>202608.99999999997</v>
      </c>
      <c r="K66" s="302">
        <v>257796</v>
      </c>
      <c r="L66" s="302">
        <v>0</v>
      </c>
      <c r="M66" s="302">
        <v>460405</v>
      </c>
      <c r="N66" s="302">
        <v>257796</v>
      </c>
    </row>
    <row r="67" spans="1:14" x14ac:dyDescent="0.3">
      <c r="A67" t="s">
        <v>938</v>
      </c>
      <c r="B67" t="s">
        <v>3342</v>
      </c>
      <c r="C67" s="302">
        <v>-11100</v>
      </c>
      <c r="D67" s="337"/>
      <c r="E67" s="333"/>
      <c r="F67" s="302">
        <v>-11100</v>
      </c>
      <c r="G67" s="338">
        <v>137973</v>
      </c>
      <c r="H67" s="302">
        <v>0</v>
      </c>
      <c r="I67" s="302">
        <v>0</v>
      </c>
      <c r="J67" s="302">
        <v>137973</v>
      </c>
      <c r="K67" s="302">
        <v>160776</v>
      </c>
      <c r="L67" s="302">
        <v>0</v>
      </c>
      <c r="M67" s="302">
        <v>298749</v>
      </c>
      <c r="N67" s="302">
        <v>160776</v>
      </c>
    </row>
    <row r="68" spans="1:14" x14ac:dyDescent="0.3">
      <c r="A68" t="s">
        <v>938</v>
      </c>
      <c r="B68" t="s">
        <v>942</v>
      </c>
      <c r="C68" s="302">
        <v>-151400</v>
      </c>
      <c r="D68" s="302"/>
      <c r="E68" s="302"/>
      <c r="F68" s="302">
        <v>-151400</v>
      </c>
      <c r="G68" s="338">
        <v>1881901.9999999998</v>
      </c>
      <c r="H68" s="302">
        <v>0</v>
      </c>
      <c r="I68" s="302">
        <v>0</v>
      </c>
      <c r="J68" s="302">
        <v>1881901.9999999998</v>
      </c>
      <c r="K68" s="302">
        <v>166320</v>
      </c>
      <c r="L68" s="302">
        <v>620475.02033932845</v>
      </c>
      <c r="M68" s="302">
        <v>2668697.0203393283</v>
      </c>
      <c r="N68" s="302">
        <v>786795.02033932845</v>
      </c>
    </row>
    <row r="69" spans="1:14" x14ac:dyDescent="0.3">
      <c r="A69" t="s">
        <v>938</v>
      </c>
      <c r="B69" t="s">
        <v>3343</v>
      </c>
      <c r="C69" s="302">
        <v>-2500</v>
      </c>
      <c r="D69" s="302"/>
      <c r="E69" s="302"/>
      <c r="F69" s="302">
        <v>-2500</v>
      </c>
      <c r="G69" s="338">
        <v>31074.999999999996</v>
      </c>
      <c r="H69" s="302">
        <v>0</v>
      </c>
      <c r="I69" s="302">
        <v>0</v>
      </c>
      <c r="J69" s="302">
        <v>31074.999999999996</v>
      </c>
      <c r="K69" s="302">
        <v>0</v>
      </c>
      <c r="L69" s="302">
        <v>0</v>
      </c>
      <c r="M69" s="302">
        <v>31074.999999999996</v>
      </c>
      <c r="N69" s="302">
        <v>0</v>
      </c>
    </row>
    <row r="70" spans="1:14" x14ac:dyDescent="0.3">
      <c r="A70" t="s">
        <v>938</v>
      </c>
      <c r="B70" t="s">
        <v>3344</v>
      </c>
      <c r="C70" s="302">
        <v>-9800</v>
      </c>
      <c r="D70" s="302"/>
      <c r="E70" s="302"/>
      <c r="F70" s="302">
        <v>-9800</v>
      </c>
      <c r="G70" s="338">
        <v>121813.99999999999</v>
      </c>
      <c r="H70" s="302">
        <v>0</v>
      </c>
      <c r="I70" s="302">
        <v>0</v>
      </c>
      <c r="J70" s="302">
        <v>121813.99999999999</v>
      </c>
      <c r="K70" s="302">
        <v>0</v>
      </c>
      <c r="L70" s="302">
        <v>0</v>
      </c>
      <c r="M70" s="302">
        <v>121813.99999999999</v>
      </c>
      <c r="N70" s="302">
        <v>0</v>
      </c>
    </row>
    <row r="71" spans="1:14" x14ac:dyDescent="0.3">
      <c r="A71" t="s">
        <v>938</v>
      </c>
      <c r="B71" t="s">
        <v>939</v>
      </c>
      <c r="C71" s="302"/>
      <c r="D71" s="331"/>
      <c r="E71" s="302"/>
      <c r="F71" s="302"/>
      <c r="G71" s="338"/>
      <c r="H71" s="302"/>
      <c r="I71" s="302"/>
      <c r="J71" s="302"/>
      <c r="K71" s="302"/>
      <c r="L71" s="302">
        <v>620475.02033932845</v>
      </c>
      <c r="M71" s="302">
        <v>620475.02033932845</v>
      </c>
      <c r="N71" s="302">
        <v>620475.02033932845</v>
      </c>
    </row>
    <row r="72" spans="1:14" x14ac:dyDescent="0.3">
      <c r="A72" s="334" t="s">
        <v>943</v>
      </c>
      <c r="B72" s="334"/>
      <c r="C72" s="335">
        <v>-532800</v>
      </c>
      <c r="D72" s="335">
        <v>-4900</v>
      </c>
      <c r="E72" s="335"/>
      <c r="F72" s="335">
        <v>-537700</v>
      </c>
      <c r="G72" s="339">
        <v>6622703.9999999991</v>
      </c>
      <c r="H72" s="335">
        <v>60906.999999999993</v>
      </c>
      <c r="I72" s="335">
        <v>0</v>
      </c>
      <c r="J72" s="336">
        <v>6683610.9999999991</v>
      </c>
      <c r="K72" s="335">
        <v>1778584.5</v>
      </c>
      <c r="L72" s="335">
        <v>42689751.183863595</v>
      </c>
      <c r="M72" s="335">
        <v>51151946.683863595</v>
      </c>
      <c r="N72" s="335">
        <v>44468335.683863595</v>
      </c>
    </row>
    <row r="73" spans="1:14" x14ac:dyDescent="0.3">
      <c r="A73" t="s">
        <v>944</v>
      </c>
      <c r="B73" t="s">
        <v>3345</v>
      </c>
      <c r="C73" s="302">
        <v>-26900</v>
      </c>
      <c r="D73" s="331"/>
      <c r="E73" s="302"/>
      <c r="F73" s="302">
        <v>-26900</v>
      </c>
      <c r="G73" s="338">
        <v>334366.99999999994</v>
      </c>
      <c r="H73" s="302">
        <v>0</v>
      </c>
      <c r="I73" s="302">
        <v>0</v>
      </c>
      <c r="J73" s="302">
        <v>334366.99999999994</v>
      </c>
      <c r="K73" s="302">
        <v>88704</v>
      </c>
      <c r="L73" s="302">
        <v>0</v>
      </c>
      <c r="M73" s="302">
        <v>423070.99999999994</v>
      </c>
      <c r="N73" s="302">
        <v>88704</v>
      </c>
    </row>
    <row r="74" spans="1:14" x14ac:dyDescent="0.3">
      <c r="A74" t="s">
        <v>944</v>
      </c>
      <c r="B74" t="s">
        <v>945</v>
      </c>
      <c r="C74" s="302"/>
      <c r="D74" s="331"/>
      <c r="E74" s="302"/>
      <c r="F74" s="302"/>
      <c r="G74" s="338"/>
      <c r="H74" s="302"/>
      <c r="I74" s="302"/>
      <c r="J74" s="302"/>
      <c r="K74" s="302"/>
      <c r="L74" s="302">
        <v>1155367.2792525424</v>
      </c>
      <c r="M74" s="302">
        <v>1155367.2792525424</v>
      </c>
      <c r="N74" s="302">
        <v>1155367.2792525424</v>
      </c>
    </row>
    <row r="75" spans="1:14" x14ac:dyDescent="0.3">
      <c r="A75" t="s">
        <v>944</v>
      </c>
      <c r="B75" t="s">
        <v>946</v>
      </c>
      <c r="C75" s="302">
        <v>-34500</v>
      </c>
      <c r="D75" s="331"/>
      <c r="E75" s="302"/>
      <c r="F75" s="302">
        <v>-34500</v>
      </c>
      <c r="G75" s="338">
        <v>428834.99999999994</v>
      </c>
      <c r="H75" s="302">
        <v>0</v>
      </c>
      <c r="I75" s="302">
        <v>0</v>
      </c>
      <c r="J75" s="302">
        <v>428834.99999999994</v>
      </c>
      <c r="K75" s="302">
        <v>26334</v>
      </c>
      <c r="L75" s="302">
        <v>984201.75640031393</v>
      </c>
      <c r="M75" s="302">
        <v>1439370.7564003139</v>
      </c>
      <c r="N75" s="302">
        <v>1010535.7564003139</v>
      </c>
    </row>
    <row r="76" spans="1:14" x14ac:dyDescent="0.3">
      <c r="A76" s="334" t="s">
        <v>947</v>
      </c>
      <c r="B76" s="334"/>
      <c r="C76" s="335">
        <v>-61400</v>
      </c>
      <c r="D76" s="335"/>
      <c r="E76" s="335"/>
      <c r="F76" s="335">
        <v>-61400</v>
      </c>
      <c r="G76" s="339">
        <v>763201.99999999988</v>
      </c>
      <c r="H76" s="335">
        <v>0</v>
      </c>
      <c r="I76" s="335">
        <v>0</v>
      </c>
      <c r="J76" s="336">
        <v>763201.99999999988</v>
      </c>
      <c r="K76" s="335">
        <v>115038</v>
      </c>
      <c r="L76" s="335">
        <v>2139569.0356528563</v>
      </c>
      <c r="M76" s="335">
        <v>3017809.0356528563</v>
      </c>
      <c r="N76" s="335">
        <v>2254607.0356528563</v>
      </c>
    </row>
    <row r="77" spans="1:14" x14ac:dyDescent="0.3">
      <c r="A77" t="s">
        <v>3346</v>
      </c>
      <c r="B77" t="s">
        <v>3347</v>
      </c>
      <c r="C77" s="302">
        <v>-4900</v>
      </c>
      <c r="D77" s="331"/>
      <c r="E77" s="302"/>
      <c r="F77" s="302">
        <v>-4900</v>
      </c>
      <c r="G77" s="338">
        <v>60906.999999999993</v>
      </c>
      <c r="H77" s="302">
        <v>0</v>
      </c>
      <c r="I77" s="302">
        <v>0</v>
      </c>
      <c r="J77" s="302">
        <v>60906.999999999993</v>
      </c>
      <c r="K77" s="302">
        <v>0</v>
      </c>
      <c r="L77" s="302">
        <v>0</v>
      </c>
      <c r="M77" s="302">
        <v>60906.999999999993</v>
      </c>
      <c r="N77" s="302">
        <v>0</v>
      </c>
    </row>
    <row r="78" spans="1:14" x14ac:dyDescent="0.3">
      <c r="A78" s="334" t="s">
        <v>3348</v>
      </c>
      <c r="B78" s="334"/>
      <c r="C78" s="335">
        <v>-4900</v>
      </c>
      <c r="D78" s="335"/>
      <c r="E78" s="335"/>
      <c r="F78" s="335">
        <v>-4900</v>
      </c>
      <c r="G78" s="339">
        <v>60906.999999999993</v>
      </c>
      <c r="H78" s="335">
        <v>0</v>
      </c>
      <c r="I78" s="335">
        <v>0</v>
      </c>
      <c r="J78" s="336">
        <v>60906.999999999993</v>
      </c>
      <c r="K78" s="335">
        <v>0</v>
      </c>
      <c r="L78" s="335">
        <v>0</v>
      </c>
      <c r="M78" s="335">
        <v>60906.999999999993</v>
      </c>
      <c r="N78" s="335">
        <v>0</v>
      </c>
    </row>
    <row r="79" spans="1:14" x14ac:dyDescent="0.3">
      <c r="A79" t="s">
        <v>948</v>
      </c>
      <c r="B79" t="s">
        <v>950</v>
      </c>
      <c r="C79" s="302">
        <v>-15000</v>
      </c>
      <c r="D79" s="302"/>
      <c r="E79" s="302"/>
      <c r="F79" s="302">
        <v>-15000</v>
      </c>
      <c r="G79" s="338">
        <v>186449.99999999997</v>
      </c>
      <c r="H79" s="302">
        <v>0</v>
      </c>
      <c r="I79" s="302">
        <v>0</v>
      </c>
      <c r="J79" s="302">
        <v>186449.99999999997</v>
      </c>
      <c r="K79" s="302">
        <v>142758</v>
      </c>
      <c r="L79" s="302">
        <v>632574.65212715894</v>
      </c>
      <c r="M79" s="302">
        <v>961782.65212715894</v>
      </c>
      <c r="N79" s="302">
        <v>775332.65212715894</v>
      </c>
    </row>
    <row r="80" spans="1:14" x14ac:dyDescent="0.3">
      <c r="A80" t="s">
        <v>948</v>
      </c>
      <c r="B80" t="s">
        <v>891</v>
      </c>
      <c r="C80" s="302"/>
      <c r="D80" s="302"/>
      <c r="E80" s="302"/>
      <c r="F80" s="302"/>
      <c r="G80" s="338"/>
      <c r="H80" s="302"/>
      <c r="I80" s="302"/>
      <c r="J80" s="302"/>
      <c r="K80" s="302"/>
      <c r="L80" s="302">
        <v>1056947.1036125112</v>
      </c>
      <c r="M80" s="302">
        <v>1056947.1036125112</v>
      </c>
      <c r="N80" s="302">
        <v>1056947.1036125112</v>
      </c>
    </row>
    <row r="81" spans="1:14" x14ac:dyDescent="0.3">
      <c r="A81" t="s">
        <v>948</v>
      </c>
      <c r="B81" t="s">
        <v>951</v>
      </c>
      <c r="C81" s="302">
        <v>-75500</v>
      </c>
      <c r="D81" s="302"/>
      <c r="E81" s="302"/>
      <c r="F81" s="302">
        <v>-75500</v>
      </c>
      <c r="G81" s="338">
        <v>938464.99999999988</v>
      </c>
      <c r="H81" s="302">
        <v>0</v>
      </c>
      <c r="I81" s="302">
        <v>0</v>
      </c>
      <c r="J81" s="302">
        <v>938464.99999999988</v>
      </c>
      <c r="K81" s="302">
        <v>83160</v>
      </c>
      <c r="L81" s="302">
        <v>34233.104570445706</v>
      </c>
      <c r="M81" s="302">
        <v>1055858.1045704456</v>
      </c>
      <c r="N81" s="302">
        <v>117393.10457044571</v>
      </c>
    </row>
    <row r="82" spans="1:14" hidden="1" x14ac:dyDescent="0.3">
      <c r="A82" s="334" t="s">
        <v>953</v>
      </c>
      <c r="B82" s="334"/>
      <c r="C82" s="335">
        <v>-90500</v>
      </c>
      <c r="D82" s="335"/>
      <c r="E82" s="340"/>
      <c r="F82" s="335">
        <v>-90500</v>
      </c>
      <c r="G82" s="339">
        <v>1124915</v>
      </c>
      <c r="H82" s="335">
        <v>0</v>
      </c>
      <c r="I82" s="335">
        <v>0</v>
      </c>
      <c r="J82" s="336">
        <v>1124915</v>
      </c>
      <c r="K82" s="335">
        <v>225918</v>
      </c>
      <c r="L82" s="335">
        <v>1723754.8603101161</v>
      </c>
      <c r="M82" s="335">
        <v>3074587.8603101159</v>
      </c>
      <c r="N82" s="335">
        <v>1949672.8603101161</v>
      </c>
    </row>
    <row r="83" spans="1:14" x14ac:dyDescent="0.3">
      <c r="A83" t="s">
        <v>954</v>
      </c>
      <c r="B83" t="s">
        <v>955</v>
      </c>
      <c r="C83" s="302">
        <v>-22900</v>
      </c>
      <c r="D83" s="302"/>
      <c r="E83" s="302"/>
      <c r="F83" s="302">
        <v>-22900</v>
      </c>
      <c r="G83" s="338">
        <v>284647</v>
      </c>
      <c r="H83" s="302">
        <v>0</v>
      </c>
      <c r="I83" s="302">
        <v>0</v>
      </c>
      <c r="J83" s="302">
        <v>284647</v>
      </c>
      <c r="K83" s="302">
        <v>0</v>
      </c>
      <c r="L83" s="302">
        <v>297400.09595574706</v>
      </c>
      <c r="M83" s="302">
        <v>582047.09595574706</v>
      </c>
      <c r="N83" s="302">
        <v>297400.09595574706</v>
      </c>
    </row>
    <row r="84" spans="1:14" hidden="1" x14ac:dyDescent="0.3">
      <c r="A84" s="334" t="s">
        <v>957</v>
      </c>
      <c r="B84" s="334"/>
      <c r="C84" s="335">
        <v>-22900</v>
      </c>
      <c r="D84" s="335"/>
      <c r="E84" s="340"/>
      <c r="F84" s="335">
        <v>-22900</v>
      </c>
      <c r="G84" s="339">
        <v>284647</v>
      </c>
      <c r="H84" s="335">
        <v>0</v>
      </c>
      <c r="I84" s="335">
        <v>0</v>
      </c>
      <c r="J84" s="336">
        <v>284647</v>
      </c>
      <c r="K84" s="335">
        <v>0</v>
      </c>
      <c r="L84" s="335">
        <v>297400.09595574706</v>
      </c>
      <c r="M84" s="335">
        <v>582047.09595574706</v>
      </c>
      <c r="N84" s="335">
        <v>297400.09595574706</v>
      </c>
    </row>
    <row r="85" spans="1:14" x14ac:dyDescent="0.3">
      <c r="A85" t="s">
        <v>3349</v>
      </c>
      <c r="B85" t="s">
        <v>3350</v>
      </c>
      <c r="C85" s="302"/>
      <c r="D85" s="302"/>
      <c r="E85" s="302"/>
      <c r="F85" s="302"/>
      <c r="G85" s="338"/>
      <c r="H85" s="302"/>
      <c r="I85" s="302"/>
      <c r="J85" s="302"/>
      <c r="K85" s="302">
        <v>72072</v>
      </c>
      <c r="L85" s="302">
        <v>0</v>
      </c>
      <c r="M85" s="302">
        <v>72072</v>
      </c>
      <c r="N85" s="302">
        <v>72072</v>
      </c>
    </row>
    <row r="86" spans="1:14" hidden="1" x14ac:dyDescent="0.3">
      <c r="A86" s="334" t="s">
        <v>3351</v>
      </c>
      <c r="B86" s="334"/>
      <c r="C86" s="335"/>
      <c r="D86" s="335"/>
      <c r="E86" s="340"/>
      <c r="F86" s="335"/>
      <c r="G86" s="339"/>
      <c r="H86" s="335"/>
      <c r="I86" s="335"/>
      <c r="J86" s="336"/>
      <c r="K86" s="335">
        <v>72072</v>
      </c>
      <c r="L86" s="335">
        <v>0</v>
      </c>
      <c r="M86" s="335">
        <v>72072</v>
      </c>
      <c r="N86" s="335">
        <v>72072</v>
      </c>
    </row>
    <row r="87" spans="1:14" x14ac:dyDescent="0.3">
      <c r="A87" t="s">
        <v>958</v>
      </c>
      <c r="B87" t="s">
        <v>960</v>
      </c>
      <c r="C87" s="302">
        <v>-1700</v>
      </c>
      <c r="D87" s="302"/>
      <c r="E87" s="302"/>
      <c r="F87" s="302">
        <v>-1700</v>
      </c>
      <c r="G87" s="338">
        <v>21130.999999999996</v>
      </c>
      <c r="H87" s="302">
        <v>0</v>
      </c>
      <c r="I87" s="302">
        <v>0</v>
      </c>
      <c r="J87" s="302">
        <v>21130.999999999996</v>
      </c>
      <c r="K87" s="302">
        <v>257796</v>
      </c>
      <c r="L87" s="302">
        <v>6667487.3410351714</v>
      </c>
      <c r="M87" s="302">
        <v>6946414.3410351714</v>
      </c>
      <c r="N87" s="302">
        <v>6925283.3410351714</v>
      </c>
    </row>
    <row r="88" spans="1:14" x14ac:dyDescent="0.3">
      <c r="A88" t="s">
        <v>958</v>
      </c>
      <c r="B88" t="s">
        <v>887</v>
      </c>
      <c r="C88" s="302"/>
      <c r="D88" s="302"/>
      <c r="E88" s="302"/>
      <c r="F88" s="302"/>
      <c r="G88" s="338"/>
      <c r="H88" s="302"/>
      <c r="I88" s="302"/>
      <c r="J88" s="302"/>
      <c r="K88" s="302"/>
      <c r="L88" s="302">
        <v>730364.18262301013</v>
      </c>
      <c r="M88" s="302">
        <v>730364.18262301013</v>
      </c>
      <c r="N88" s="302">
        <v>730364.18262301013</v>
      </c>
    </row>
    <row r="89" spans="1:14" x14ac:dyDescent="0.3">
      <c r="A89" t="s">
        <v>958</v>
      </c>
      <c r="B89" t="s">
        <v>3352</v>
      </c>
      <c r="C89" s="302">
        <v>-7400</v>
      </c>
      <c r="D89" s="302"/>
      <c r="E89" s="333"/>
      <c r="F89" s="302">
        <v>-7400</v>
      </c>
      <c r="G89" s="338">
        <v>91981.999999999985</v>
      </c>
      <c r="H89" s="302">
        <v>0</v>
      </c>
      <c r="I89" s="302">
        <v>0</v>
      </c>
      <c r="J89" s="302">
        <v>91981.999999999985</v>
      </c>
      <c r="K89" s="302">
        <v>0</v>
      </c>
      <c r="L89" s="302">
        <v>0</v>
      </c>
      <c r="M89" s="302">
        <v>91981.999999999985</v>
      </c>
      <c r="N89" s="302">
        <v>0</v>
      </c>
    </row>
    <row r="90" spans="1:14" x14ac:dyDescent="0.3">
      <c r="A90" t="s">
        <v>958</v>
      </c>
      <c r="B90" t="s">
        <v>3353</v>
      </c>
      <c r="C90" s="302">
        <v>-4900</v>
      </c>
      <c r="D90" s="302"/>
      <c r="E90" s="333"/>
      <c r="F90" s="302">
        <v>-4900</v>
      </c>
      <c r="G90" s="338">
        <v>60906.999999999993</v>
      </c>
      <c r="H90" s="302">
        <v>0</v>
      </c>
      <c r="I90" s="302">
        <v>0</v>
      </c>
      <c r="J90" s="302">
        <v>60906.999999999993</v>
      </c>
      <c r="K90" s="302">
        <v>0</v>
      </c>
      <c r="L90" s="302">
        <v>0</v>
      </c>
      <c r="M90" s="302">
        <v>60906.999999999993</v>
      </c>
      <c r="N90" s="302">
        <v>0</v>
      </c>
    </row>
    <row r="91" spans="1:14" x14ac:dyDescent="0.3">
      <c r="A91" t="s">
        <v>958</v>
      </c>
      <c r="B91" t="s">
        <v>3354</v>
      </c>
      <c r="C91" s="302">
        <v>-23100</v>
      </c>
      <c r="D91" s="302"/>
      <c r="E91" s="302"/>
      <c r="F91" s="302">
        <v>-23100</v>
      </c>
      <c r="G91" s="338">
        <v>287133</v>
      </c>
      <c r="H91" s="302">
        <v>0</v>
      </c>
      <c r="I91" s="302">
        <v>0</v>
      </c>
      <c r="J91" s="302">
        <v>287133</v>
      </c>
      <c r="K91" s="302">
        <v>14899.5</v>
      </c>
      <c r="L91" s="302">
        <v>0</v>
      </c>
      <c r="M91" s="302">
        <v>302032.5</v>
      </c>
      <c r="N91" s="302">
        <v>14899.5</v>
      </c>
    </row>
    <row r="92" spans="1:14" x14ac:dyDescent="0.3">
      <c r="A92" t="s">
        <v>958</v>
      </c>
      <c r="B92" t="s">
        <v>3355</v>
      </c>
      <c r="C92" s="302">
        <v>-2500</v>
      </c>
      <c r="D92" s="302"/>
      <c r="E92" s="302"/>
      <c r="F92" s="302">
        <v>-2500</v>
      </c>
      <c r="G92" s="338">
        <v>31074.999999999996</v>
      </c>
      <c r="H92" s="302">
        <v>0</v>
      </c>
      <c r="I92" s="302">
        <v>0</v>
      </c>
      <c r="J92" s="302">
        <v>31074.999999999996</v>
      </c>
      <c r="K92" s="302">
        <v>0</v>
      </c>
      <c r="L92" s="302">
        <v>0</v>
      </c>
      <c r="M92" s="302">
        <v>31074.999999999996</v>
      </c>
      <c r="N92" s="302">
        <v>0</v>
      </c>
    </row>
    <row r="93" spans="1:14" x14ac:dyDescent="0.3">
      <c r="A93" t="s">
        <v>958</v>
      </c>
      <c r="B93" t="s">
        <v>3356</v>
      </c>
      <c r="C93" s="302">
        <v>-19700</v>
      </c>
      <c r="D93" s="302"/>
      <c r="E93" s="302"/>
      <c r="F93" s="302">
        <v>-19700</v>
      </c>
      <c r="G93" s="338">
        <v>244870.99999999997</v>
      </c>
      <c r="H93" s="302">
        <v>0</v>
      </c>
      <c r="I93" s="302">
        <v>0</v>
      </c>
      <c r="J93" s="302">
        <v>244870.99999999997</v>
      </c>
      <c r="K93" s="302">
        <v>0</v>
      </c>
      <c r="L93" s="302">
        <v>0</v>
      </c>
      <c r="M93" s="302">
        <v>244870.99999999997</v>
      </c>
      <c r="N93" s="302">
        <v>0</v>
      </c>
    </row>
    <row r="94" spans="1:14" x14ac:dyDescent="0.3">
      <c r="A94" t="s">
        <v>958</v>
      </c>
      <c r="B94" t="s">
        <v>3357</v>
      </c>
      <c r="C94" s="302">
        <v>-4100</v>
      </c>
      <c r="D94" s="302"/>
      <c r="E94" s="302"/>
      <c r="F94" s="302">
        <v>-4100</v>
      </c>
      <c r="G94" s="338">
        <v>50962.999999999993</v>
      </c>
      <c r="H94" s="302">
        <v>0</v>
      </c>
      <c r="I94" s="302">
        <v>0</v>
      </c>
      <c r="J94" s="302">
        <v>50962.999999999993</v>
      </c>
      <c r="K94" s="302">
        <v>58212</v>
      </c>
      <c r="L94" s="302">
        <v>0</v>
      </c>
      <c r="M94" s="302">
        <v>109175</v>
      </c>
      <c r="N94" s="302">
        <v>58212</v>
      </c>
    </row>
    <row r="95" spans="1:14" x14ac:dyDescent="0.3">
      <c r="A95" s="334" t="s">
        <v>961</v>
      </c>
      <c r="B95" s="334"/>
      <c r="C95" s="335">
        <v>-63400</v>
      </c>
      <c r="D95" s="335"/>
      <c r="E95" s="335"/>
      <c r="F95" s="335">
        <v>-63400</v>
      </c>
      <c r="G95" s="339">
        <v>788061.99999999988</v>
      </c>
      <c r="H95" s="335">
        <v>0</v>
      </c>
      <c r="I95" s="335">
        <v>0</v>
      </c>
      <c r="J95" s="336">
        <v>788061.99999999988</v>
      </c>
      <c r="K95" s="335">
        <v>330907.5</v>
      </c>
      <c r="L95" s="335">
        <v>7397851.5236581815</v>
      </c>
      <c r="M95" s="335">
        <v>8516821.0236581825</v>
      </c>
      <c r="N95" s="335">
        <v>7728759.0236581815</v>
      </c>
    </row>
    <row r="96" spans="1:14" x14ac:dyDescent="0.3">
      <c r="A96" t="s">
        <v>962</v>
      </c>
      <c r="B96" t="s">
        <v>963</v>
      </c>
      <c r="C96" s="302"/>
      <c r="D96" s="302"/>
      <c r="E96" s="302"/>
      <c r="F96" s="302"/>
      <c r="G96" s="338"/>
      <c r="H96" s="302"/>
      <c r="I96" s="302"/>
      <c r="J96" s="302"/>
      <c r="K96" s="302"/>
      <c r="L96" s="302">
        <v>885781.5807602827</v>
      </c>
      <c r="M96" s="302">
        <v>885781.5807602827</v>
      </c>
      <c r="N96" s="302">
        <v>885781.5807602827</v>
      </c>
    </row>
    <row r="97" spans="1:14" x14ac:dyDescent="0.3">
      <c r="A97" t="s">
        <v>962</v>
      </c>
      <c r="B97" t="s">
        <v>964</v>
      </c>
      <c r="C97" s="302">
        <v>-31800</v>
      </c>
      <c r="D97" s="302"/>
      <c r="E97" s="302"/>
      <c r="F97" s="302">
        <v>-31800</v>
      </c>
      <c r="G97" s="338">
        <v>395273.99999999994</v>
      </c>
      <c r="H97" s="302">
        <v>0</v>
      </c>
      <c r="I97" s="302">
        <v>0</v>
      </c>
      <c r="J97" s="302">
        <v>395273.99999999994</v>
      </c>
      <c r="K97" s="302">
        <v>0</v>
      </c>
      <c r="L97" s="302">
        <v>1279462.2833204081</v>
      </c>
      <c r="M97" s="302">
        <v>1674736.2833204081</v>
      </c>
      <c r="N97" s="302">
        <v>1279462.2833204081</v>
      </c>
    </row>
    <row r="98" spans="1:14" x14ac:dyDescent="0.3">
      <c r="A98" s="334" t="s">
        <v>965</v>
      </c>
      <c r="B98" s="334"/>
      <c r="C98" s="335">
        <v>-31800</v>
      </c>
      <c r="D98" s="335"/>
      <c r="E98" s="335"/>
      <c r="F98" s="335">
        <v>-31800</v>
      </c>
      <c r="G98" s="339">
        <v>395273.99999999994</v>
      </c>
      <c r="H98" s="335">
        <v>0</v>
      </c>
      <c r="I98" s="335">
        <v>0</v>
      </c>
      <c r="J98" s="336">
        <v>395273.99999999994</v>
      </c>
      <c r="K98" s="335">
        <v>0</v>
      </c>
      <c r="L98" s="335">
        <v>2165243.8640806908</v>
      </c>
      <c r="M98" s="335">
        <v>2560517.8640806908</v>
      </c>
      <c r="N98" s="335">
        <v>2165243.8640806908</v>
      </c>
    </row>
    <row r="99" spans="1:14" x14ac:dyDescent="0.3">
      <c r="A99" t="s">
        <v>966</v>
      </c>
      <c r="B99" t="s">
        <v>968</v>
      </c>
      <c r="C99" s="302">
        <v>-8000</v>
      </c>
      <c r="D99" s="302"/>
      <c r="E99" s="302"/>
      <c r="F99" s="302">
        <v>-8000</v>
      </c>
      <c r="G99" s="338">
        <v>99439.999999999985</v>
      </c>
      <c r="H99" s="302">
        <v>0</v>
      </c>
      <c r="I99" s="302">
        <v>0</v>
      </c>
      <c r="J99" s="302">
        <v>99439.999999999985</v>
      </c>
      <c r="K99" s="302">
        <v>0</v>
      </c>
      <c r="L99" s="302">
        <v>4172159.6195230703</v>
      </c>
      <c r="M99" s="302">
        <v>4271599.6195230698</v>
      </c>
      <c r="N99" s="302">
        <v>4172159.6195230703</v>
      </c>
    </row>
    <row r="100" spans="1:14" x14ac:dyDescent="0.3">
      <c r="A100" t="s">
        <v>966</v>
      </c>
      <c r="B100" t="s">
        <v>883</v>
      </c>
      <c r="C100" s="302"/>
      <c r="D100" s="302"/>
      <c r="E100" s="302"/>
      <c r="F100" s="302"/>
      <c r="G100" s="338"/>
      <c r="H100" s="302"/>
      <c r="I100" s="302"/>
      <c r="J100" s="302"/>
      <c r="K100" s="302"/>
      <c r="L100" s="302">
        <v>2591018.1021756097</v>
      </c>
      <c r="M100" s="302">
        <v>2591018.1021756097</v>
      </c>
      <c r="N100" s="302">
        <v>2591018.1021756097</v>
      </c>
    </row>
    <row r="101" spans="1:14" x14ac:dyDescent="0.3">
      <c r="A101" t="s">
        <v>966</v>
      </c>
      <c r="B101" t="s">
        <v>3358</v>
      </c>
      <c r="C101" s="302">
        <v>-46400</v>
      </c>
      <c r="D101" s="302"/>
      <c r="E101" s="302"/>
      <c r="F101" s="302">
        <v>-46400</v>
      </c>
      <c r="G101" s="338">
        <v>576752</v>
      </c>
      <c r="H101" s="302">
        <v>0</v>
      </c>
      <c r="I101" s="302">
        <v>0</v>
      </c>
      <c r="J101" s="302">
        <v>576752</v>
      </c>
      <c r="K101" s="302">
        <v>0</v>
      </c>
      <c r="L101" s="302">
        <v>0</v>
      </c>
      <c r="M101" s="302">
        <v>576752</v>
      </c>
      <c r="N101" s="302">
        <v>0</v>
      </c>
    </row>
    <row r="102" spans="1:14" x14ac:dyDescent="0.3">
      <c r="A102" t="s">
        <v>966</v>
      </c>
      <c r="B102" t="s">
        <v>3336</v>
      </c>
      <c r="C102" s="302"/>
      <c r="D102" s="302"/>
      <c r="E102" s="302"/>
      <c r="F102" s="302"/>
      <c r="G102" s="338"/>
      <c r="H102" s="302"/>
      <c r="I102" s="302"/>
      <c r="J102" s="302"/>
      <c r="K102" s="302"/>
      <c r="L102" s="302">
        <v>968940</v>
      </c>
      <c r="M102" s="302">
        <v>968940</v>
      </c>
      <c r="N102" s="302">
        <v>968940</v>
      </c>
    </row>
    <row r="103" spans="1:14" x14ac:dyDescent="0.3">
      <c r="A103" s="334" t="s">
        <v>970</v>
      </c>
      <c r="B103" s="334"/>
      <c r="C103" s="335">
        <v>-54400</v>
      </c>
      <c r="D103" s="335"/>
      <c r="E103" s="335"/>
      <c r="F103" s="335">
        <v>-54400</v>
      </c>
      <c r="G103" s="339">
        <v>676191.99999999988</v>
      </c>
      <c r="H103" s="335">
        <v>0</v>
      </c>
      <c r="I103" s="335">
        <v>0</v>
      </c>
      <c r="J103" s="336">
        <v>676191.99999999988</v>
      </c>
      <c r="K103" s="335">
        <v>0</v>
      </c>
      <c r="L103" s="335">
        <v>7732117.72169868</v>
      </c>
      <c r="M103" s="335">
        <v>8408309.721698679</v>
      </c>
      <c r="N103" s="335">
        <v>7732117.72169868</v>
      </c>
    </row>
    <row r="104" spans="1:14" x14ac:dyDescent="0.3">
      <c r="A104" t="s">
        <v>971</v>
      </c>
      <c r="B104" t="s">
        <v>972</v>
      </c>
      <c r="C104" s="302"/>
      <c r="D104" s="302"/>
      <c r="E104" s="302"/>
      <c r="F104" s="302"/>
      <c r="G104" s="338"/>
      <c r="H104" s="302"/>
      <c r="I104" s="302"/>
      <c r="J104" s="302"/>
      <c r="K104" s="302"/>
      <c r="L104" s="302">
        <v>800198.81933416834</v>
      </c>
      <c r="M104" s="302">
        <v>800198.81933416834</v>
      </c>
      <c r="N104" s="302">
        <v>800198.81933416834</v>
      </c>
    </row>
    <row r="105" spans="1:14" x14ac:dyDescent="0.3">
      <c r="A105" s="334" t="s">
        <v>974</v>
      </c>
      <c r="B105" s="334"/>
      <c r="C105" s="335"/>
      <c r="D105" s="335"/>
      <c r="E105" s="335"/>
      <c r="F105" s="335"/>
      <c r="G105" s="339"/>
      <c r="H105" s="335"/>
      <c r="I105" s="335"/>
      <c r="J105" s="336"/>
      <c r="K105" s="335"/>
      <c r="L105" s="335">
        <v>800198.81933416834</v>
      </c>
      <c r="M105" s="335">
        <v>800198.81933416834</v>
      </c>
      <c r="N105" s="335">
        <v>800198.81933416834</v>
      </c>
    </row>
    <row r="106" spans="1:14" x14ac:dyDescent="0.3">
      <c r="A106" t="s">
        <v>975</v>
      </c>
      <c r="B106" t="s">
        <v>3359</v>
      </c>
      <c r="C106" s="302"/>
      <c r="D106" s="302"/>
      <c r="E106" s="302"/>
      <c r="F106" s="302"/>
      <c r="G106" s="338"/>
      <c r="H106" s="302"/>
      <c r="I106" s="302"/>
      <c r="J106" s="302"/>
      <c r="K106" s="302">
        <v>58212</v>
      </c>
      <c r="L106" s="302">
        <v>0</v>
      </c>
      <c r="M106" s="302">
        <v>58212</v>
      </c>
      <c r="N106" s="302">
        <v>58212</v>
      </c>
    </row>
    <row r="107" spans="1:14" x14ac:dyDescent="0.3">
      <c r="A107" t="s">
        <v>975</v>
      </c>
      <c r="B107" t="s">
        <v>977</v>
      </c>
      <c r="C107" s="302">
        <v>-151900</v>
      </c>
      <c r="D107" s="302"/>
      <c r="E107" s="302"/>
      <c r="F107" s="302">
        <v>-151900</v>
      </c>
      <c r="G107" s="338">
        <v>1888116.9999999998</v>
      </c>
      <c r="H107" s="302">
        <v>0</v>
      </c>
      <c r="I107" s="302">
        <v>0</v>
      </c>
      <c r="J107" s="302">
        <v>1888116.9999999998</v>
      </c>
      <c r="K107" s="302">
        <v>296604</v>
      </c>
      <c r="L107" s="302">
        <v>4306952.4687692011</v>
      </c>
      <c r="M107" s="302">
        <v>6491673.4687692011</v>
      </c>
      <c r="N107" s="302">
        <v>4603556.4687692011</v>
      </c>
    </row>
    <row r="108" spans="1:14" x14ac:dyDescent="0.3">
      <c r="A108" t="s">
        <v>975</v>
      </c>
      <c r="B108" t="s">
        <v>879</v>
      </c>
      <c r="C108" s="302">
        <v>-6400</v>
      </c>
      <c r="D108" s="302"/>
      <c r="E108" s="302"/>
      <c r="F108" s="302">
        <v>-6400</v>
      </c>
      <c r="G108" s="338">
        <v>79551.999999999985</v>
      </c>
      <c r="H108" s="302">
        <v>0</v>
      </c>
      <c r="I108" s="302">
        <v>0</v>
      </c>
      <c r="J108" s="302">
        <v>79551.999999999985</v>
      </c>
      <c r="K108" s="302">
        <v>255024</v>
      </c>
      <c r="L108" s="302">
        <v>1861425.0610179852</v>
      </c>
      <c r="M108" s="302">
        <v>2196001.0610179855</v>
      </c>
      <c r="N108" s="302">
        <v>2116449.0610179855</v>
      </c>
    </row>
    <row r="109" spans="1:14" x14ac:dyDescent="0.3">
      <c r="A109" t="s">
        <v>975</v>
      </c>
      <c r="B109" t="s">
        <v>3360</v>
      </c>
      <c r="C109" s="302">
        <v>-4100</v>
      </c>
      <c r="D109" s="302"/>
      <c r="E109" s="302"/>
      <c r="F109" s="302">
        <v>-4100</v>
      </c>
      <c r="G109" s="338">
        <v>50962.999999999993</v>
      </c>
      <c r="H109" s="302">
        <v>0</v>
      </c>
      <c r="I109" s="302">
        <v>0</v>
      </c>
      <c r="J109" s="302">
        <v>50962.999999999993</v>
      </c>
      <c r="K109" s="302">
        <v>0</v>
      </c>
      <c r="L109" s="302">
        <v>0</v>
      </c>
      <c r="M109" s="302">
        <v>50962.999999999993</v>
      </c>
      <c r="N109" s="302">
        <v>0</v>
      </c>
    </row>
    <row r="110" spans="1:14" x14ac:dyDescent="0.3">
      <c r="A110" t="s">
        <v>975</v>
      </c>
      <c r="B110" t="s">
        <v>3361</v>
      </c>
      <c r="C110" s="302">
        <v>-4100</v>
      </c>
      <c r="D110" s="302"/>
      <c r="E110" s="302"/>
      <c r="F110" s="302">
        <v>-4100</v>
      </c>
      <c r="G110" s="338">
        <v>50962.999999999993</v>
      </c>
      <c r="H110" s="302">
        <v>0</v>
      </c>
      <c r="I110" s="302">
        <v>0</v>
      </c>
      <c r="J110" s="302">
        <v>50962.999999999993</v>
      </c>
      <c r="K110" s="302">
        <v>0</v>
      </c>
      <c r="L110" s="302">
        <v>0</v>
      </c>
      <c r="M110" s="302">
        <v>50962.999999999993</v>
      </c>
      <c r="N110" s="302">
        <v>0</v>
      </c>
    </row>
    <row r="111" spans="1:14" x14ac:dyDescent="0.3">
      <c r="A111" t="s">
        <v>975</v>
      </c>
      <c r="B111" t="s">
        <v>3362</v>
      </c>
      <c r="C111" s="302">
        <v>-30000</v>
      </c>
      <c r="D111" s="302"/>
      <c r="E111" s="302"/>
      <c r="F111" s="302">
        <v>-30000</v>
      </c>
      <c r="G111" s="338">
        <v>372899.99999999994</v>
      </c>
      <c r="H111" s="302">
        <v>0</v>
      </c>
      <c r="I111" s="302">
        <v>0</v>
      </c>
      <c r="J111" s="302">
        <v>372899.99999999994</v>
      </c>
      <c r="K111" s="302">
        <v>0</v>
      </c>
      <c r="L111" s="302">
        <v>0</v>
      </c>
      <c r="M111" s="302">
        <v>372899.99999999994</v>
      </c>
      <c r="N111" s="302">
        <v>0</v>
      </c>
    </row>
    <row r="112" spans="1:14" x14ac:dyDescent="0.3">
      <c r="A112" t="s">
        <v>975</v>
      </c>
      <c r="B112" t="s">
        <v>3336</v>
      </c>
      <c r="C112" s="302"/>
      <c r="D112" s="302"/>
      <c r="E112" s="302"/>
      <c r="F112" s="302"/>
      <c r="G112" s="338"/>
      <c r="H112" s="302"/>
      <c r="I112" s="302"/>
      <c r="J112" s="302"/>
      <c r="K112" s="302"/>
      <c r="L112" s="302">
        <v>1378861</v>
      </c>
      <c r="M112" s="302">
        <v>1378861</v>
      </c>
      <c r="N112" s="302">
        <v>1378861</v>
      </c>
    </row>
    <row r="113" spans="1:15" x14ac:dyDescent="0.3">
      <c r="A113" s="334" t="s">
        <v>980</v>
      </c>
      <c r="B113" s="334"/>
      <c r="C113" s="335">
        <v>-196500</v>
      </c>
      <c r="D113" s="335"/>
      <c r="E113" s="335"/>
      <c r="F113" s="335">
        <v>-196500</v>
      </c>
      <c r="G113" s="339">
        <v>2442495</v>
      </c>
      <c r="H113" s="335">
        <v>0</v>
      </c>
      <c r="I113" s="335">
        <v>0</v>
      </c>
      <c r="J113" s="336">
        <v>2442495</v>
      </c>
      <c r="K113" s="335">
        <v>609840</v>
      </c>
      <c r="L113" s="335">
        <v>7547238.5297871865</v>
      </c>
      <c r="M113" s="335">
        <v>10599573.529787187</v>
      </c>
      <c r="N113" s="335">
        <v>8157078.5297871865</v>
      </c>
    </row>
    <row r="114" spans="1:15" x14ac:dyDescent="0.3">
      <c r="A114" t="s">
        <v>981</v>
      </c>
      <c r="B114" t="s">
        <v>983</v>
      </c>
      <c r="C114" s="302">
        <v>-5300</v>
      </c>
      <c r="D114" s="302"/>
      <c r="E114" s="302"/>
      <c r="F114" s="302">
        <v>-5300</v>
      </c>
      <c r="G114" s="338">
        <v>65879</v>
      </c>
      <c r="H114" s="302">
        <v>0</v>
      </c>
      <c r="I114" s="302">
        <v>0</v>
      </c>
      <c r="J114" s="302">
        <v>65879</v>
      </c>
      <c r="K114" s="302">
        <v>76230</v>
      </c>
      <c r="L114" s="302">
        <v>620475.02033932845</v>
      </c>
      <c r="M114" s="302">
        <v>762584.02033932845</v>
      </c>
      <c r="N114" s="302">
        <v>696705.02033932845</v>
      </c>
    </row>
    <row r="115" spans="1:15" x14ac:dyDescent="0.3">
      <c r="A115" t="s">
        <v>981</v>
      </c>
      <c r="B115" t="s">
        <v>985</v>
      </c>
      <c r="C115" s="302"/>
      <c r="D115" s="302"/>
      <c r="E115" s="302"/>
      <c r="F115" s="302"/>
      <c r="G115" s="338"/>
      <c r="H115" s="302"/>
      <c r="I115" s="302"/>
      <c r="J115" s="302"/>
      <c r="K115" s="302"/>
      <c r="L115" s="302">
        <v>457867.7736297113</v>
      </c>
      <c r="M115" s="302">
        <v>457867.7736297113</v>
      </c>
      <c r="N115" s="302">
        <v>457867.7736297113</v>
      </c>
    </row>
    <row r="116" spans="1:15" x14ac:dyDescent="0.3">
      <c r="A116" s="334" t="s">
        <v>987</v>
      </c>
      <c r="B116" s="334"/>
      <c r="C116" s="335">
        <v>-5300</v>
      </c>
      <c r="D116" s="335"/>
      <c r="E116" s="335"/>
      <c r="F116" s="335">
        <v>-5300</v>
      </c>
      <c r="G116" s="339">
        <v>65879</v>
      </c>
      <c r="H116" s="335">
        <v>0</v>
      </c>
      <c r="I116" s="335">
        <v>0</v>
      </c>
      <c r="J116" s="336">
        <v>65879</v>
      </c>
      <c r="K116" s="335">
        <v>76230</v>
      </c>
      <c r="L116" s="335">
        <v>1078342.7939690398</v>
      </c>
      <c r="M116" s="335">
        <v>1220451.7939690398</v>
      </c>
      <c r="N116" s="335">
        <v>1154572.7939690398</v>
      </c>
    </row>
    <row r="117" spans="1:15" x14ac:dyDescent="0.3">
      <c r="A117" t="s">
        <v>988</v>
      </c>
      <c r="B117" t="s">
        <v>989</v>
      </c>
      <c r="C117" s="302"/>
      <c r="D117" s="302"/>
      <c r="E117" s="302"/>
      <c r="F117" s="302"/>
      <c r="G117" s="338"/>
      <c r="H117" s="302"/>
      <c r="I117" s="302"/>
      <c r="J117" s="302"/>
      <c r="K117" s="302"/>
      <c r="L117" s="302">
        <v>3703594.0007150955</v>
      </c>
      <c r="M117" s="302">
        <v>3703594.0007150955</v>
      </c>
      <c r="N117" s="302">
        <v>3703594.0007150955</v>
      </c>
    </row>
    <row r="118" spans="1:15" x14ac:dyDescent="0.3">
      <c r="A118" s="334" t="s">
        <v>990</v>
      </c>
      <c r="B118" s="334" t="s">
        <v>134</v>
      </c>
      <c r="C118" s="335"/>
      <c r="D118" s="335"/>
      <c r="E118" s="335"/>
      <c r="F118" s="335"/>
      <c r="G118" s="339"/>
      <c r="H118" s="335"/>
      <c r="I118" s="335"/>
      <c r="J118" s="336"/>
      <c r="K118" s="335"/>
      <c r="L118" s="335">
        <v>3703594.0007150955</v>
      </c>
      <c r="M118" s="335">
        <v>3703594.0007150955</v>
      </c>
      <c r="N118" s="335">
        <v>3703594.0007150955</v>
      </c>
    </row>
    <row r="119" spans="1:15" x14ac:dyDescent="0.3">
      <c r="A119" t="s">
        <v>991</v>
      </c>
      <c r="B119" t="s">
        <v>992</v>
      </c>
      <c r="C119" s="302"/>
      <c r="D119" s="302"/>
      <c r="E119" s="302"/>
      <c r="F119" s="302"/>
      <c r="G119" s="338"/>
      <c r="H119" s="302"/>
      <c r="I119" s="302"/>
      <c r="J119" s="302"/>
      <c r="K119" s="302"/>
      <c r="L119" s="302">
        <v>423634.6690592657</v>
      </c>
      <c r="M119" s="302">
        <v>423634.6690592657</v>
      </c>
      <c r="N119" s="302">
        <v>423634.6690592657</v>
      </c>
    </row>
    <row r="120" spans="1:15" x14ac:dyDescent="0.3">
      <c r="A120" s="334" t="s">
        <v>993</v>
      </c>
      <c r="B120" s="334"/>
      <c r="C120" s="335"/>
      <c r="D120" s="335"/>
      <c r="E120" s="335"/>
      <c r="F120" s="335"/>
      <c r="G120" s="339"/>
      <c r="H120" s="335"/>
      <c r="I120" s="335"/>
      <c r="J120" s="336"/>
      <c r="K120" s="335"/>
      <c r="L120" s="335">
        <v>423634.6690592657</v>
      </c>
      <c r="M120" s="335">
        <v>423634.6690592657</v>
      </c>
      <c r="N120" s="335">
        <v>423634.6690592657</v>
      </c>
    </row>
    <row r="121" spans="1:15" x14ac:dyDescent="0.3">
      <c r="A121" t="s">
        <v>994</v>
      </c>
      <c r="B121" t="s">
        <v>845</v>
      </c>
      <c r="C121" s="302">
        <v>-11900</v>
      </c>
      <c r="D121" s="302"/>
      <c r="E121" s="302"/>
      <c r="F121" s="302">
        <v>-11900</v>
      </c>
      <c r="G121" s="338">
        <v>147917</v>
      </c>
      <c r="H121" s="302">
        <v>0</v>
      </c>
      <c r="I121" s="302">
        <v>0</v>
      </c>
      <c r="J121" s="302">
        <v>147917</v>
      </c>
      <c r="K121" s="302">
        <v>173250</v>
      </c>
      <c r="L121" s="302">
        <v>1240950.0406786569</v>
      </c>
      <c r="M121" s="302">
        <v>1562117.0406786569</v>
      </c>
      <c r="N121" s="302">
        <v>1414200.0406786569</v>
      </c>
      <c r="O121" s="1"/>
    </row>
    <row r="122" spans="1:15" x14ac:dyDescent="0.3">
      <c r="A122" s="334" t="s">
        <v>996</v>
      </c>
      <c r="B122" s="334"/>
      <c r="C122" s="335">
        <v>-11900</v>
      </c>
      <c r="D122" s="335"/>
      <c r="E122" s="335"/>
      <c r="F122" s="335">
        <v>-11900</v>
      </c>
      <c r="G122" s="339">
        <v>147917</v>
      </c>
      <c r="H122" s="335">
        <v>0</v>
      </c>
      <c r="I122" s="335">
        <v>0</v>
      </c>
      <c r="J122" s="336">
        <v>147917</v>
      </c>
      <c r="K122" s="335">
        <v>173250</v>
      </c>
      <c r="L122" s="335">
        <v>1240950.0406786569</v>
      </c>
      <c r="M122" s="335">
        <v>1562117.0406786569</v>
      </c>
      <c r="N122" s="335">
        <v>1414200.0406786569</v>
      </c>
    </row>
    <row r="123" spans="1:15" x14ac:dyDescent="0.3">
      <c r="A123" t="s">
        <v>3363</v>
      </c>
      <c r="B123" t="s">
        <v>3364</v>
      </c>
      <c r="C123" s="302">
        <v>-63400</v>
      </c>
      <c r="D123" s="302"/>
      <c r="E123" s="302"/>
      <c r="F123" s="302">
        <v>-63400</v>
      </c>
      <c r="G123" s="338">
        <v>788061.99999999988</v>
      </c>
      <c r="H123" s="302">
        <v>0</v>
      </c>
      <c r="I123" s="302">
        <v>0</v>
      </c>
      <c r="J123" s="302">
        <v>788061.99999999988</v>
      </c>
      <c r="K123" s="302">
        <v>0</v>
      </c>
      <c r="L123" s="302">
        <v>0</v>
      </c>
      <c r="M123" s="302">
        <v>788061.99999999988</v>
      </c>
      <c r="N123" s="302">
        <v>0</v>
      </c>
    </row>
    <row r="124" spans="1:15" x14ac:dyDescent="0.3">
      <c r="A124" s="334" t="s">
        <v>3365</v>
      </c>
      <c r="B124" s="334"/>
      <c r="C124" s="335">
        <v>-63400</v>
      </c>
      <c r="D124" s="335"/>
      <c r="E124" s="335"/>
      <c r="F124" s="335">
        <v>-63400</v>
      </c>
      <c r="G124" s="339">
        <v>788061.99999999988</v>
      </c>
      <c r="H124" s="335">
        <v>0</v>
      </c>
      <c r="I124" s="335">
        <v>0</v>
      </c>
      <c r="J124" s="336">
        <v>788061.99999999988</v>
      </c>
      <c r="K124" s="335">
        <v>0</v>
      </c>
      <c r="L124" s="335">
        <v>0</v>
      </c>
      <c r="M124" s="335">
        <v>788061.99999999988</v>
      </c>
      <c r="N124" s="335">
        <v>0</v>
      </c>
    </row>
    <row r="125" spans="1:15" x14ac:dyDescent="0.3">
      <c r="A125" t="s">
        <v>3366</v>
      </c>
      <c r="B125" t="s">
        <v>3071</v>
      </c>
      <c r="C125" s="302">
        <v>-7400</v>
      </c>
      <c r="D125" s="302"/>
      <c r="E125" s="302"/>
      <c r="F125" s="302">
        <v>-7400</v>
      </c>
      <c r="G125" s="338">
        <v>91981.999999999985</v>
      </c>
      <c r="H125" s="302">
        <v>0</v>
      </c>
      <c r="I125" s="302">
        <v>0</v>
      </c>
      <c r="J125" s="302">
        <v>91981.999999999985</v>
      </c>
      <c r="K125" s="302">
        <v>141372</v>
      </c>
      <c r="L125" s="302">
        <v>620475</v>
      </c>
      <c r="M125" s="302">
        <v>853829</v>
      </c>
      <c r="N125" s="302">
        <v>761847</v>
      </c>
    </row>
    <row r="126" spans="1:15" x14ac:dyDescent="0.3">
      <c r="A126" s="334" t="s">
        <v>3367</v>
      </c>
      <c r="B126" s="334"/>
      <c r="C126" s="335">
        <v>-7400</v>
      </c>
      <c r="D126" s="335"/>
      <c r="E126" s="335"/>
      <c r="F126" s="335">
        <v>-7400</v>
      </c>
      <c r="G126" s="339">
        <v>91981.999999999985</v>
      </c>
      <c r="H126" s="335">
        <v>0</v>
      </c>
      <c r="I126" s="335">
        <v>0</v>
      </c>
      <c r="J126" s="336">
        <v>91981.999999999985</v>
      </c>
      <c r="K126" s="335">
        <v>141372</v>
      </c>
      <c r="L126" s="335">
        <v>620475</v>
      </c>
      <c r="M126" s="335">
        <v>853829</v>
      </c>
      <c r="N126" s="335">
        <v>761847</v>
      </c>
    </row>
    <row r="127" spans="1:15" x14ac:dyDescent="0.3">
      <c r="A127" t="s">
        <v>997</v>
      </c>
      <c r="B127" t="s">
        <v>998</v>
      </c>
      <c r="C127" s="302"/>
      <c r="D127" s="302"/>
      <c r="E127" s="302"/>
      <c r="F127" s="302"/>
      <c r="G127" s="338"/>
      <c r="H127" s="302"/>
      <c r="I127" s="302"/>
      <c r="J127" s="302"/>
      <c r="K127" s="302"/>
      <c r="L127" s="302">
        <v>620475.02033932845</v>
      </c>
      <c r="M127" s="302">
        <v>620475.02033932845</v>
      </c>
      <c r="N127" s="302">
        <v>620475.02033932845</v>
      </c>
    </row>
    <row r="128" spans="1:15" x14ac:dyDescent="0.3">
      <c r="A128" t="s">
        <v>997</v>
      </c>
      <c r="B128" t="s">
        <v>999</v>
      </c>
      <c r="C128" s="302"/>
      <c r="D128" s="302"/>
      <c r="E128" s="302"/>
      <c r="F128" s="302"/>
      <c r="G128" s="338"/>
      <c r="H128" s="302"/>
      <c r="I128" s="302"/>
      <c r="J128" s="302"/>
      <c r="K128" s="302"/>
      <c r="L128" s="302"/>
      <c r="M128" s="302">
        <v>0</v>
      </c>
      <c r="N128" s="302">
        <v>0</v>
      </c>
    </row>
    <row r="129" spans="1:14" x14ac:dyDescent="0.3">
      <c r="A129" s="334" t="s">
        <v>1000</v>
      </c>
      <c r="B129" s="334"/>
      <c r="C129" s="335"/>
      <c r="D129" s="335"/>
      <c r="E129" s="335"/>
      <c r="F129" s="335"/>
      <c r="G129" s="339"/>
      <c r="H129" s="335"/>
      <c r="I129" s="335"/>
      <c r="J129" s="336"/>
      <c r="K129" s="335"/>
      <c r="L129" s="335">
        <v>620475</v>
      </c>
      <c r="M129" s="335">
        <v>620475</v>
      </c>
      <c r="N129" s="335">
        <v>620475</v>
      </c>
    </row>
    <row r="130" spans="1:14" x14ac:dyDescent="0.3">
      <c r="A130" t="s">
        <v>1001</v>
      </c>
      <c r="B130" t="s">
        <v>3368</v>
      </c>
      <c r="C130" s="302">
        <v>-5000</v>
      </c>
      <c r="D130" s="302"/>
      <c r="E130" s="302"/>
      <c r="F130" s="302">
        <v>-5000</v>
      </c>
      <c r="G130" s="338">
        <v>62149.999999999993</v>
      </c>
      <c r="H130" s="302">
        <v>0</v>
      </c>
      <c r="I130" s="302">
        <v>0</v>
      </c>
      <c r="J130" s="302">
        <v>62149.999999999993</v>
      </c>
      <c r="K130" s="302">
        <v>0</v>
      </c>
      <c r="L130" s="302">
        <v>0</v>
      </c>
      <c r="M130" s="302">
        <v>62149.999999999993</v>
      </c>
      <c r="N130" s="302">
        <v>0</v>
      </c>
    </row>
    <row r="131" spans="1:14" x14ac:dyDescent="0.3">
      <c r="A131" t="s">
        <v>1001</v>
      </c>
      <c r="B131" t="s">
        <v>3369</v>
      </c>
      <c r="C131" s="302">
        <v>-4900</v>
      </c>
      <c r="D131" s="302"/>
      <c r="E131" s="302"/>
      <c r="F131" s="302">
        <v>-4900</v>
      </c>
      <c r="G131" s="338">
        <v>60906.999999999993</v>
      </c>
      <c r="H131" s="302">
        <v>0</v>
      </c>
      <c r="I131" s="302">
        <v>0</v>
      </c>
      <c r="J131" s="302">
        <v>60906.999999999993</v>
      </c>
      <c r="K131" s="302">
        <v>0</v>
      </c>
      <c r="L131" s="302">
        <v>0</v>
      </c>
      <c r="M131" s="302">
        <v>60906.999999999993</v>
      </c>
      <c r="N131" s="302">
        <v>0</v>
      </c>
    </row>
    <row r="132" spans="1:14" x14ac:dyDescent="0.3">
      <c r="A132" s="334" t="s">
        <v>1002</v>
      </c>
      <c r="B132" s="334"/>
      <c r="C132" s="335">
        <v>-9900</v>
      </c>
      <c r="D132" s="335"/>
      <c r="E132" s="335"/>
      <c r="F132" s="335">
        <v>-9900</v>
      </c>
      <c r="G132" s="339">
        <v>123056.99999999999</v>
      </c>
      <c r="H132" s="335">
        <v>0</v>
      </c>
      <c r="I132" s="335">
        <v>0</v>
      </c>
      <c r="J132" s="336">
        <v>123056.99999999999</v>
      </c>
      <c r="K132" s="335">
        <v>0</v>
      </c>
      <c r="L132" s="335">
        <v>0</v>
      </c>
      <c r="M132" s="335">
        <v>123056.99999999999</v>
      </c>
      <c r="N132" s="335">
        <v>0</v>
      </c>
    </row>
    <row r="133" spans="1:14" hidden="1" x14ac:dyDescent="0.3">
      <c r="A133" t="s">
        <v>3370</v>
      </c>
      <c r="B133" t="s">
        <v>3371</v>
      </c>
      <c r="C133" s="302">
        <v>-26100</v>
      </c>
      <c r="D133" s="302"/>
      <c r="E133" s="333"/>
      <c r="F133" s="302">
        <v>-26100</v>
      </c>
      <c r="G133" s="338">
        <v>324422.99999999994</v>
      </c>
      <c r="H133" s="302">
        <v>0</v>
      </c>
      <c r="I133" s="302">
        <v>0</v>
      </c>
      <c r="J133" s="302">
        <v>324422.99999999994</v>
      </c>
      <c r="K133" s="302">
        <v>0</v>
      </c>
      <c r="L133" s="302">
        <v>0</v>
      </c>
      <c r="M133" s="302">
        <v>324422.99999999994</v>
      </c>
      <c r="N133" s="302">
        <v>0</v>
      </c>
    </row>
    <row r="134" spans="1:14" x14ac:dyDescent="0.3">
      <c r="A134" s="334" t="s">
        <v>3372</v>
      </c>
      <c r="B134" s="334"/>
      <c r="C134" s="335">
        <v>-26100</v>
      </c>
      <c r="D134" s="335"/>
      <c r="E134" s="335"/>
      <c r="F134" s="335">
        <v>-26100</v>
      </c>
      <c r="G134" s="339">
        <v>324422.99999999994</v>
      </c>
      <c r="H134" s="335">
        <v>0</v>
      </c>
      <c r="I134" s="335">
        <v>0</v>
      </c>
      <c r="J134" s="336">
        <v>324422.99999999994</v>
      </c>
      <c r="K134" s="335">
        <v>0</v>
      </c>
      <c r="L134" s="335">
        <v>0</v>
      </c>
      <c r="M134" s="335">
        <v>324422.99999999994</v>
      </c>
      <c r="N134" s="335">
        <v>0</v>
      </c>
    </row>
    <row r="135" spans="1:14" x14ac:dyDescent="0.3">
      <c r="A135" t="s">
        <v>3373</v>
      </c>
      <c r="B135" t="s">
        <v>873</v>
      </c>
      <c r="C135" s="302"/>
      <c r="D135" s="302"/>
      <c r="E135" s="302"/>
      <c r="F135" s="302"/>
      <c r="G135" s="338"/>
      <c r="H135" s="302"/>
      <c r="I135" s="302"/>
      <c r="J135" s="302"/>
      <c r="K135" s="302">
        <v>203049</v>
      </c>
      <c r="L135" s="302">
        <v>0</v>
      </c>
      <c r="M135" s="302">
        <v>203049</v>
      </c>
      <c r="N135" s="302">
        <v>203049</v>
      </c>
    </row>
    <row r="136" spans="1:14" x14ac:dyDescent="0.3">
      <c r="A136" s="334" t="s">
        <v>3374</v>
      </c>
      <c r="B136" s="334"/>
      <c r="C136" s="335"/>
      <c r="D136" s="335"/>
      <c r="E136" s="335"/>
      <c r="F136" s="335"/>
      <c r="G136" s="339"/>
      <c r="H136" s="335"/>
      <c r="I136" s="335"/>
      <c r="J136" s="336"/>
      <c r="K136" s="335">
        <v>203049</v>
      </c>
      <c r="L136" s="335">
        <v>0</v>
      </c>
      <c r="M136" s="335">
        <v>203049</v>
      </c>
      <c r="N136" s="335">
        <v>203049</v>
      </c>
    </row>
    <row r="137" spans="1:14" x14ac:dyDescent="0.3">
      <c r="A137" t="s">
        <v>3375</v>
      </c>
      <c r="B137" t="s">
        <v>3376</v>
      </c>
      <c r="C137" s="302">
        <v>-4900</v>
      </c>
      <c r="D137" s="302"/>
      <c r="E137" s="302"/>
      <c r="F137" s="302">
        <v>-4900</v>
      </c>
      <c r="G137" s="338">
        <v>60906.999999999993</v>
      </c>
      <c r="H137" s="302">
        <v>0</v>
      </c>
      <c r="I137" s="302">
        <v>0</v>
      </c>
      <c r="J137" s="302">
        <v>60906.999999999993</v>
      </c>
      <c r="K137" s="302">
        <v>0</v>
      </c>
      <c r="L137" s="302">
        <v>0</v>
      </c>
      <c r="M137" s="302">
        <v>60906.999999999993</v>
      </c>
      <c r="N137" s="302">
        <v>0</v>
      </c>
    </row>
    <row r="138" spans="1:14" x14ac:dyDescent="0.3">
      <c r="A138" s="334" t="s">
        <v>3377</v>
      </c>
      <c r="B138" s="334"/>
      <c r="C138" s="335">
        <v>-4900</v>
      </c>
      <c r="D138" s="335"/>
      <c r="E138" s="335"/>
      <c r="F138" s="335">
        <v>-4900</v>
      </c>
      <c r="G138" s="339">
        <v>60906.999999999993</v>
      </c>
      <c r="H138" s="335">
        <v>0</v>
      </c>
      <c r="I138" s="335">
        <v>0</v>
      </c>
      <c r="J138" s="336">
        <v>60906.999999999993</v>
      </c>
      <c r="K138" s="335">
        <v>0</v>
      </c>
      <c r="L138" s="335">
        <v>0</v>
      </c>
      <c r="M138" s="335">
        <v>60906.999999999993</v>
      </c>
      <c r="N138" s="335">
        <v>0</v>
      </c>
    </row>
    <row r="139" spans="1:14" x14ac:dyDescent="0.3">
      <c r="A139" t="s">
        <v>1003</v>
      </c>
      <c r="B139" t="s">
        <v>1007</v>
      </c>
      <c r="C139" s="302">
        <v>-53400</v>
      </c>
      <c r="D139" s="302"/>
      <c r="E139" s="302"/>
      <c r="F139" s="302">
        <v>-53400</v>
      </c>
      <c r="G139" s="338">
        <v>663761.99999999988</v>
      </c>
      <c r="H139" s="302">
        <v>0</v>
      </c>
      <c r="I139" s="302">
        <v>0</v>
      </c>
      <c r="J139" s="302">
        <v>663761.99999999988</v>
      </c>
      <c r="K139" s="302">
        <v>116424</v>
      </c>
      <c r="L139" s="302">
        <v>269585.69849225995</v>
      </c>
      <c r="M139" s="302">
        <v>1049771.6984922597</v>
      </c>
      <c r="N139" s="302">
        <v>386009.69849225995</v>
      </c>
    </row>
    <row r="140" spans="1:14" x14ac:dyDescent="0.3">
      <c r="A140" t="s">
        <v>1003</v>
      </c>
      <c r="B140" t="s">
        <v>1004</v>
      </c>
      <c r="C140" s="302"/>
      <c r="D140" s="302"/>
      <c r="E140" s="302"/>
      <c r="F140" s="302"/>
      <c r="G140" s="338"/>
      <c r="H140" s="302"/>
      <c r="I140" s="302"/>
      <c r="J140" s="302"/>
      <c r="K140" s="302"/>
      <c r="L140" s="302">
        <v>213956.90356528567</v>
      </c>
      <c r="M140" s="302">
        <v>213956.90356528567</v>
      </c>
      <c r="N140" s="302">
        <v>213956.90356528567</v>
      </c>
    </row>
    <row r="141" spans="1:14" x14ac:dyDescent="0.3">
      <c r="A141" t="s">
        <v>1003</v>
      </c>
      <c r="B141" t="s">
        <v>1005</v>
      </c>
      <c r="C141" s="302"/>
      <c r="D141" s="302"/>
      <c r="E141" s="302"/>
      <c r="F141" s="302"/>
      <c r="G141" s="331"/>
      <c r="H141" s="302"/>
      <c r="I141" s="302"/>
      <c r="J141" s="302"/>
      <c r="K141" s="302"/>
      <c r="L141" s="302">
        <v>427913.80713057134</v>
      </c>
      <c r="M141" s="302">
        <v>427913.80713057134</v>
      </c>
      <c r="N141" s="302">
        <v>427913.80713057134</v>
      </c>
    </row>
    <row r="142" spans="1:14" x14ac:dyDescent="0.3">
      <c r="A142" t="s">
        <v>1003</v>
      </c>
      <c r="B142" t="s">
        <v>1006</v>
      </c>
      <c r="C142" s="302"/>
      <c r="D142" s="302"/>
      <c r="E142" s="302"/>
      <c r="F142" s="302"/>
      <c r="G142" s="331"/>
      <c r="H142" s="302"/>
      <c r="I142" s="302"/>
      <c r="J142" s="302"/>
      <c r="K142" s="302"/>
      <c r="L142" s="302">
        <v>620475.02033932845</v>
      </c>
      <c r="M142" s="302">
        <v>620475.02033932845</v>
      </c>
      <c r="N142" s="302">
        <v>620475.02033932845</v>
      </c>
    </row>
    <row r="143" spans="1:14" x14ac:dyDescent="0.3">
      <c r="A143" t="s">
        <v>1003</v>
      </c>
      <c r="B143" t="s">
        <v>1008</v>
      </c>
      <c r="C143" s="302"/>
      <c r="D143" s="302"/>
      <c r="E143" s="302"/>
      <c r="F143" s="302"/>
      <c r="G143" s="331"/>
      <c r="H143" s="302"/>
      <c r="I143" s="302"/>
      <c r="J143" s="302"/>
      <c r="K143" s="302"/>
      <c r="L143" s="302">
        <v>492100.87820015708</v>
      </c>
      <c r="M143" s="302">
        <v>492100.87820015708</v>
      </c>
      <c r="N143" s="302">
        <v>492100.87820015708</v>
      </c>
    </row>
    <row r="144" spans="1:14" x14ac:dyDescent="0.3">
      <c r="A144" t="s">
        <v>1003</v>
      </c>
      <c r="B144" t="s">
        <v>1009</v>
      </c>
      <c r="C144" s="302"/>
      <c r="D144" s="302"/>
      <c r="E144" s="302"/>
      <c r="F144" s="302"/>
      <c r="G144" s="331"/>
      <c r="H144" s="302"/>
      <c r="I144" s="302"/>
      <c r="J144" s="302"/>
      <c r="K144" s="302"/>
      <c r="L144" s="302">
        <v>1133971.588896014</v>
      </c>
      <c r="M144" s="302">
        <v>1133971.588896014</v>
      </c>
      <c r="N144" s="302">
        <v>1133971.588896014</v>
      </c>
    </row>
    <row r="145" spans="1:14" x14ac:dyDescent="0.3">
      <c r="A145" s="334" t="s">
        <v>1010</v>
      </c>
      <c r="B145" s="334"/>
      <c r="C145" s="335">
        <v>-53400</v>
      </c>
      <c r="D145" s="335"/>
      <c r="E145" s="335"/>
      <c r="F145" s="335">
        <v>-53400</v>
      </c>
      <c r="G145" s="335">
        <v>663761.99999999988</v>
      </c>
      <c r="H145" s="335">
        <v>0</v>
      </c>
      <c r="I145" s="335">
        <v>0</v>
      </c>
      <c r="J145" s="336">
        <v>663761.99999999988</v>
      </c>
      <c r="K145" s="335">
        <v>116424</v>
      </c>
      <c r="L145" s="335">
        <v>3158003.8966236166</v>
      </c>
      <c r="M145" s="335">
        <v>3938189.8966236166</v>
      </c>
      <c r="N145" s="335">
        <v>3274427.8966236166</v>
      </c>
    </row>
    <row r="146" spans="1:14" x14ac:dyDescent="0.3">
      <c r="A146" t="s">
        <v>1011</v>
      </c>
      <c r="B146" t="s">
        <v>1012</v>
      </c>
      <c r="C146" s="302">
        <v>-6100</v>
      </c>
      <c r="D146" s="302"/>
      <c r="E146" s="302"/>
      <c r="F146" s="302">
        <v>-6100</v>
      </c>
      <c r="G146" s="331">
        <v>75823</v>
      </c>
      <c r="H146" s="302">
        <v>0</v>
      </c>
      <c r="I146" s="302">
        <v>0</v>
      </c>
      <c r="J146" s="302">
        <v>75823</v>
      </c>
      <c r="K146" s="302">
        <v>76230</v>
      </c>
      <c r="L146" s="302">
        <v>526333.9827706028</v>
      </c>
      <c r="M146" s="302">
        <v>678386.9827706028</v>
      </c>
      <c r="N146" s="302">
        <v>602563.9827706028</v>
      </c>
    </row>
    <row r="147" spans="1:14" x14ac:dyDescent="0.3">
      <c r="A147" s="334" t="s">
        <v>1013</v>
      </c>
      <c r="B147" s="334"/>
      <c r="C147" s="335">
        <v>-6100</v>
      </c>
      <c r="D147" s="335"/>
      <c r="E147" s="335"/>
      <c r="F147" s="335">
        <v>-6100</v>
      </c>
      <c r="G147" s="335">
        <v>75823</v>
      </c>
      <c r="H147" s="335">
        <v>0</v>
      </c>
      <c r="I147" s="335">
        <v>0</v>
      </c>
      <c r="J147" s="336">
        <v>75823</v>
      </c>
      <c r="K147" s="335">
        <v>76230</v>
      </c>
      <c r="L147" s="335">
        <v>526333.9827706028</v>
      </c>
      <c r="M147" s="335">
        <v>678386.9827706028</v>
      </c>
      <c r="N147" s="335">
        <v>602563.9827706028</v>
      </c>
    </row>
    <row r="148" spans="1:14" x14ac:dyDescent="0.3">
      <c r="A148" t="s">
        <v>1014</v>
      </c>
      <c r="B148" t="s">
        <v>1020</v>
      </c>
      <c r="C148" s="302"/>
      <c r="D148" s="302"/>
      <c r="E148" s="302"/>
      <c r="F148" s="302"/>
      <c r="G148" s="331"/>
      <c r="H148" s="302"/>
      <c r="I148" s="302"/>
      <c r="J148" s="302"/>
      <c r="K148" s="302">
        <v>47124</v>
      </c>
      <c r="L148" s="302">
        <v>620475.02033932845</v>
      </c>
      <c r="M148" s="302">
        <v>667599.02033932845</v>
      </c>
      <c r="N148" s="302">
        <v>667599.02033932845</v>
      </c>
    </row>
    <row r="149" spans="1:14" x14ac:dyDescent="0.3">
      <c r="A149" t="s">
        <v>1014</v>
      </c>
      <c r="B149" t="s">
        <v>3065</v>
      </c>
      <c r="C149" s="302"/>
      <c r="D149" s="302"/>
      <c r="E149" s="302"/>
      <c r="F149" s="302"/>
      <c r="G149" s="331"/>
      <c r="H149" s="302"/>
      <c r="I149" s="302"/>
      <c r="J149" s="302"/>
      <c r="K149" s="302">
        <v>29106</v>
      </c>
      <c r="L149" s="302">
        <v>0</v>
      </c>
      <c r="M149" s="302">
        <v>29106</v>
      </c>
      <c r="N149" s="302">
        <v>29106</v>
      </c>
    </row>
    <row r="150" spans="1:14" x14ac:dyDescent="0.3">
      <c r="A150" t="s">
        <v>1014</v>
      </c>
      <c r="B150" t="s">
        <v>3059</v>
      </c>
      <c r="C150" s="302"/>
      <c r="D150" s="302">
        <v>-11800</v>
      </c>
      <c r="E150" s="302"/>
      <c r="F150" s="302">
        <v>-11800</v>
      </c>
      <c r="G150" s="331">
        <v>0</v>
      </c>
      <c r="H150" s="302">
        <v>146674</v>
      </c>
      <c r="I150" s="302">
        <v>0</v>
      </c>
      <c r="J150" s="302">
        <v>146674</v>
      </c>
      <c r="K150" s="302">
        <v>0</v>
      </c>
      <c r="L150" s="302">
        <v>0</v>
      </c>
      <c r="M150" s="302">
        <v>146674</v>
      </c>
      <c r="N150" s="302">
        <v>0</v>
      </c>
    </row>
    <row r="151" spans="1:14" x14ac:dyDescent="0.3">
      <c r="A151" t="s">
        <v>1014</v>
      </c>
      <c r="B151" t="s">
        <v>871</v>
      </c>
      <c r="C151" s="302"/>
      <c r="D151" s="302"/>
      <c r="E151" s="302"/>
      <c r="F151" s="302"/>
      <c r="G151" s="331"/>
      <c r="H151" s="302"/>
      <c r="I151" s="302"/>
      <c r="J151" s="302"/>
      <c r="K151" s="302"/>
      <c r="L151" s="302">
        <v>620475.02033932845</v>
      </c>
      <c r="M151" s="302">
        <v>620475.02033932845</v>
      </c>
      <c r="N151" s="302">
        <v>620475.02033932845</v>
      </c>
    </row>
    <row r="152" spans="1:14" x14ac:dyDescent="0.3">
      <c r="A152" t="s">
        <v>1014</v>
      </c>
      <c r="B152" t="s">
        <v>1015</v>
      </c>
      <c r="C152" s="302"/>
      <c r="D152" s="302"/>
      <c r="E152" s="302"/>
      <c r="F152" s="302"/>
      <c r="G152" s="331"/>
      <c r="H152" s="302"/>
      <c r="I152" s="302"/>
      <c r="J152" s="302"/>
      <c r="K152" s="302"/>
      <c r="L152" s="302">
        <v>128374.1421391714</v>
      </c>
      <c r="M152" s="302">
        <v>128374.1421391714</v>
      </c>
      <c r="N152" s="302">
        <v>128374.1421391714</v>
      </c>
    </row>
    <row r="153" spans="1:14" x14ac:dyDescent="0.3">
      <c r="A153" t="s">
        <v>1014</v>
      </c>
      <c r="B153" t="s">
        <v>1016</v>
      </c>
      <c r="C153" s="302"/>
      <c r="D153" s="302"/>
      <c r="E153" s="302"/>
      <c r="F153" s="302"/>
      <c r="G153" s="331"/>
      <c r="H153" s="302"/>
      <c r="I153" s="302"/>
      <c r="J153" s="302"/>
      <c r="K153" s="302"/>
      <c r="L153" s="302">
        <v>470705.18784362852</v>
      </c>
      <c r="M153" s="302">
        <v>470705.18784362852</v>
      </c>
      <c r="N153" s="302">
        <v>470705.18784362852</v>
      </c>
    </row>
    <row r="154" spans="1:14" x14ac:dyDescent="0.3">
      <c r="A154" t="s">
        <v>1014</v>
      </c>
      <c r="B154" t="s">
        <v>1017</v>
      </c>
      <c r="C154" s="302"/>
      <c r="D154" s="302"/>
      <c r="E154" s="302"/>
      <c r="F154" s="302"/>
      <c r="G154" s="331"/>
      <c r="H154" s="302"/>
      <c r="I154" s="302"/>
      <c r="J154" s="302"/>
      <c r="K154" s="302"/>
      <c r="L154" s="302">
        <v>78398.926718441202</v>
      </c>
      <c r="M154" s="302">
        <v>78398.926718441202</v>
      </c>
      <c r="N154" s="302">
        <v>78398.926718441202</v>
      </c>
    </row>
    <row r="155" spans="1:14" x14ac:dyDescent="0.3">
      <c r="A155" t="s">
        <v>1014</v>
      </c>
      <c r="B155" t="s">
        <v>1018</v>
      </c>
      <c r="C155" s="302"/>
      <c r="D155" s="302"/>
      <c r="E155" s="302"/>
      <c r="F155" s="302"/>
      <c r="G155" s="331"/>
      <c r="H155" s="302"/>
      <c r="I155" s="302"/>
      <c r="J155" s="302"/>
      <c r="K155" s="302"/>
      <c r="L155" s="302">
        <v>620475.02033932845</v>
      </c>
      <c r="M155" s="302">
        <v>620475.02033932845</v>
      </c>
      <c r="N155" s="302">
        <v>620475.02033932845</v>
      </c>
    </row>
    <row r="156" spans="1:14" x14ac:dyDescent="0.3">
      <c r="A156" t="s">
        <v>1014</v>
      </c>
      <c r="B156" t="s">
        <v>867</v>
      </c>
      <c r="C156" s="302"/>
      <c r="D156" s="302"/>
      <c r="E156" s="302"/>
      <c r="F156" s="302"/>
      <c r="G156" s="331"/>
      <c r="H156" s="302"/>
      <c r="I156" s="302"/>
      <c r="J156" s="302"/>
      <c r="K156" s="302"/>
      <c r="L156" s="302">
        <v>1240950.0406786569</v>
      </c>
      <c r="M156" s="302">
        <v>1240950.0406786569</v>
      </c>
      <c r="N156" s="302">
        <v>1240950.0406786569</v>
      </c>
    </row>
    <row r="157" spans="1:14" x14ac:dyDescent="0.3">
      <c r="A157" t="s">
        <v>1014</v>
      </c>
      <c r="B157" t="s">
        <v>1019</v>
      </c>
      <c r="C157" s="302"/>
      <c r="D157" s="302"/>
      <c r="E157" s="302"/>
      <c r="F157" s="302"/>
      <c r="G157" s="331"/>
      <c r="H157" s="302"/>
      <c r="I157" s="302"/>
      <c r="J157" s="302"/>
      <c r="K157" s="302"/>
      <c r="L157" s="302">
        <v>1116855.036610791</v>
      </c>
      <c r="M157" s="302">
        <v>1116855.036610791</v>
      </c>
      <c r="N157" s="302">
        <v>1116855.036610791</v>
      </c>
    </row>
    <row r="158" spans="1:14" x14ac:dyDescent="0.3">
      <c r="A158" t="s">
        <v>1014</v>
      </c>
      <c r="B158" t="s">
        <v>1021</v>
      </c>
      <c r="C158" s="302"/>
      <c r="D158" s="302"/>
      <c r="E158" s="302"/>
      <c r="F158" s="302"/>
      <c r="G158" s="331"/>
      <c r="H158" s="302"/>
      <c r="I158" s="302"/>
      <c r="J158" s="302"/>
      <c r="K158" s="302"/>
      <c r="L158" s="302">
        <v>2297897.1442911685</v>
      </c>
      <c r="M158" s="302">
        <v>2297897.1442911685</v>
      </c>
      <c r="N158" s="302">
        <v>2297897.1442911685</v>
      </c>
    </row>
    <row r="159" spans="1:14" x14ac:dyDescent="0.3">
      <c r="A159" s="334" t="s">
        <v>1022</v>
      </c>
      <c r="B159" s="334"/>
      <c r="C159" s="335"/>
      <c r="D159" s="335">
        <v>-11800</v>
      </c>
      <c r="E159" s="335"/>
      <c r="F159" s="335">
        <v>-11800</v>
      </c>
      <c r="G159" s="335">
        <v>0</v>
      </c>
      <c r="H159" s="335">
        <v>146674</v>
      </c>
      <c r="I159" s="335">
        <v>0</v>
      </c>
      <c r="J159" s="336">
        <v>146674</v>
      </c>
      <c r="K159" s="335">
        <v>76230</v>
      </c>
      <c r="L159" s="335">
        <v>7194605.5392998429</v>
      </c>
      <c r="M159" s="335">
        <v>7417509.5392998429</v>
      </c>
      <c r="N159" s="335">
        <v>7270835.5392998429</v>
      </c>
    </row>
    <row r="160" spans="1:14" x14ac:dyDescent="0.3">
      <c r="A160" t="s">
        <v>1023</v>
      </c>
      <c r="B160" t="s">
        <v>851</v>
      </c>
      <c r="C160" s="302"/>
      <c r="D160" s="302"/>
      <c r="E160" s="302"/>
      <c r="F160" s="302"/>
      <c r="G160" s="331"/>
      <c r="H160" s="302"/>
      <c r="I160" s="302"/>
      <c r="J160" s="302"/>
      <c r="K160" s="302">
        <v>15246</v>
      </c>
      <c r="L160" s="302">
        <v>0</v>
      </c>
      <c r="M160" s="302">
        <v>15246</v>
      </c>
      <c r="N160" s="302">
        <v>15246</v>
      </c>
    </row>
    <row r="161" spans="1:14" x14ac:dyDescent="0.3">
      <c r="A161" t="s">
        <v>1023</v>
      </c>
      <c r="B161" t="s">
        <v>1024</v>
      </c>
      <c r="C161" s="302"/>
      <c r="D161" s="302"/>
      <c r="E161" s="302"/>
      <c r="F161" s="302"/>
      <c r="G161" s="331"/>
      <c r="H161" s="302"/>
      <c r="I161" s="302"/>
      <c r="J161" s="302"/>
      <c r="K161" s="302"/>
      <c r="L161" s="302">
        <v>957387.0272597326</v>
      </c>
      <c r="M161" s="302">
        <v>957387.0272597326</v>
      </c>
      <c r="N161" s="302">
        <v>957387.0272597326</v>
      </c>
    </row>
    <row r="162" spans="1:14" x14ac:dyDescent="0.3">
      <c r="A162" t="s">
        <v>1023</v>
      </c>
      <c r="B162" t="s">
        <v>1027</v>
      </c>
      <c r="C162" s="302"/>
      <c r="D162" s="302"/>
      <c r="E162" s="302"/>
      <c r="F162" s="302"/>
      <c r="G162" s="331"/>
      <c r="H162" s="302"/>
      <c r="I162" s="302"/>
      <c r="J162" s="302"/>
      <c r="K162" s="302"/>
      <c r="L162" s="302">
        <v>213956.90356528567</v>
      </c>
      <c r="M162" s="302">
        <v>213956.90356528567</v>
      </c>
      <c r="N162" s="302">
        <v>213956.90356528567</v>
      </c>
    </row>
    <row r="163" spans="1:14" x14ac:dyDescent="0.3">
      <c r="A163" s="334" t="s">
        <v>1028</v>
      </c>
      <c r="B163" s="334"/>
      <c r="C163" s="335"/>
      <c r="D163" s="335"/>
      <c r="E163" s="335"/>
      <c r="F163" s="335"/>
      <c r="G163" s="335"/>
      <c r="H163" s="335"/>
      <c r="I163" s="335"/>
      <c r="J163" s="336"/>
      <c r="K163" s="335">
        <v>15246</v>
      </c>
      <c r="L163" s="335">
        <v>1171343.9308250183</v>
      </c>
      <c r="M163" s="335">
        <v>1186589.9308250183</v>
      </c>
      <c r="N163" s="335">
        <v>1186589.9308250183</v>
      </c>
    </row>
    <row r="164" spans="1:14" x14ac:dyDescent="0.3">
      <c r="A164" t="s">
        <v>1029</v>
      </c>
      <c r="B164" t="s">
        <v>1030</v>
      </c>
      <c r="C164" s="302">
        <v>-140859.99999999997</v>
      </c>
      <c r="D164" s="302"/>
      <c r="E164" s="302"/>
      <c r="F164" s="302">
        <v>-140859.99999999997</v>
      </c>
      <c r="G164" s="331">
        <v>1750889.7999999996</v>
      </c>
      <c r="H164" s="302">
        <v>0</v>
      </c>
      <c r="I164" s="302">
        <v>0</v>
      </c>
      <c r="J164" s="302">
        <v>1750889.7999999996</v>
      </c>
      <c r="K164" s="302">
        <v>209563.1999999996</v>
      </c>
      <c r="L164" s="302">
        <v>273864.83656356565</v>
      </c>
      <c r="M164" s="302">
        <v>2234317.8365635648</v>
      </c>
      <c r="N164" s="302">
        <v>483428.03656356526</v>
      </c>
    </row>
    <row r="165" spans="1:14" x14ac:dyDescent="0.3">
      <c r="A165" t="s">
        <v>1029</v>
      </c>
      <c r="B165" t="s">
        <v>3378</v>
      </c>
      <c r="C165" s="302">
        <v>-26650</v>
      </c>
      <c r="D165" s="302"/>
      <c r="E165" s="302"/>
      <c r="F165" s="302">
        <v>-26650</v>
      </c>
      <c r="G165" s="331">
        <v>331259.49999999994</v>
      </c>
      <c r="H165" s="302">
        <v>0</v>
      </c>
      <c r="I165" s="302">
        <v>0</v>
      </c>
      <c r="J165" s="302">
        <v>331259.49999999994</v>
      </c>
      <c r="K165" s="302">
        <v>0</v>
      </c>
      <c r="L165" s="302">
        <v>0</v>
      </c>
      <c r="M165" s="302">
        <v>331259.49999999994</v>
      </c>
      <c r="N165" s="302">
        <v>0</v>
      </c>
    </row>
    <row r="166" spans="1:14" x14ac:dyDescent="0.3">
      <c r="A166" t="s">
        <v>1029</v>
      </c>
      <c r="B166" t="s">
        <v>1031</v>
      </c>
      <c r="C166" s="302"/>
      <c r="D166" s="302"/>
      <c r="E166" s="302">
        <v>-2200</v>
      </c>
      <c r="F166" s="302">
        <v>-2200</v>
      </c>
      <c r="G166" s="331">
        <v>0</v>
      </c>
      <c r="H166" s="302">
        <v>0</v>
      </c>
      <c r="I166" s="302">
        <v>27345.999999999996</v>
      </c>
      <c r="J166" s="302">
        <v>27345.999999999996</v>
      </c>
      <c r="K166" s="302">
        <v>0</v>
      </c>
      <c r="L166" s="302">
        <v>5875256.5719027445</v>
      </c>
      <c r="M166" s="302">
        <v>5902602.5719027445</v>
      </c>
      <c r="N166" s="302">
        <v>5875256.5719027445</v>
      </c>
    </row>
    <row r="167" spans="1:14" x14ac:dyDescent="0.3">
      <c r="A167" t="s">
        <v>1029</v>
      </c>
      <c r="B167" t="s">
        <v>1032</v>
      </c>
      <c r="C167" s="302">
        <v>-25800</v>
      </c>
      <c r="D167" s="302"/>
      <c r="E167" s="302"/>
      <c r="F167" s="302">
        <v>-25800</v>
      </c>
      <c r="G167" s="331">
        <v>320693.99999999994</v>
      </c>
      <c r="H167" s="302">
        <v>0</v>
      </c>
      <c r="I167" s="302">
        <v>0</v>
      </c>
      <c r="J167" s="302">
        <v>320693.99999999994</v>
      </c>
      <c r="K167" s="302">
        <v>0</v>
      </c>
      <c r="L167" s="302">
        <v>1240950.0406786569</v>
      </c>
      <c r="M167" s="302">
        <v>1561644.0406786569</v>
      </c>
      <c r="N167" s="302">
        <v>1240950.0406786569</v>
      </c>
    </row>
    <row r="168" spans="1:14" x14ac:dyDescent="0.3">
      <c r="A168" t="s">
        <v>1029</v>
      </c>
      <c r="B168" t="s">
        <v>1033</v>
      </c>
      <c r="C168" s="302">
        <v>-39532.206896551725</v>
      </c>
      <c r="D168" s="302"/>
      <c r="E168" s="302"/>
      <c r="F168" s="302">
        <v>-39532.206896551725</v>
      </c>
      <c r="G168" s="331">
        <v>491385.33172413788</v>
      </c>
      <c r="H168" s="302">
        <v>0</v>
      </c>
      <c r="I168" s="302">
        <v>0</v>
      </c>
      <c r="J168" s="302">
        <v>491385.33172413788</v>
      </c>
      <c r="K168" s="302">
        <v>0</v>
      </c>
      <c r="L168" s="302">
        <v>504938.29241407418</v>
      </c>
      <c r="M168" s="302">
        <v>996323.62413821206</v>
      </c>
      <c r="N168" s="302">
        <v>504938.29241407418</v>
      </c>
    </row>
    <row r="169" spans="1:14" x14ac:dyDescent="0.3">
      <c r="A169" t="s">
        <v>1029</v>
      </c>
      <c r="B169" t="s">
        <v>3028</v>
      </c>
      <c r="C169" s="302">
        <v>-180600</v>
      </c>
      <c r="D169" s="302"/>
      <c r="E169" s="302"/>
      <c r="F169" s="302">
        <v>-180600</v>
      </c>
      <c r="G169" s="331">
        <v>2244858</v>
      </c>
      <c r="H169" s="302">
        <v>0</v>
      </c>
      <c r="I169" s="302">
        <v>0</v>
      </c>
      <c r="J169" s="302">
        <v>2244858</v>
      </c>
      <c r="K169" s="302">
        <v>0</v>
      </c>
      <c r="L169" s="302">
        <v>0</v>
      </c>
      <c r="M169" s="302">
        <v>2244858</v>
      </c>
      <c r="N169" s="302">
        <v>0</v>
      </c>
    </row>
    <row r="170" spans="1:14" x14ac:dyDescent="0.3">
      <c r="A170" t="s">
        <v>1029</v>
      </c>
      <c r="B170" t="s">
        <v>3030</v>
      </c>
      <c r="C170" s="302">
        <v>-103200</v>
      </c>
      <c r="D170" s="302"/>
      <c r="E170" s="302"/>
      <c r="F170" s="302">
        <v>-103200</v>
      </c>
      <c r="G170" s="331">
        <v>1282775.9999999998</v>
      </c>
      <c r="H170" s="302">
        <v>0</v>
      </c>
      <c r="I170" s="302">
        <v>0</v>
      </c>
      <c r="J170" s="302">
        <v>1282775.9999999998</v>
      </c>
      <c r="K170" s="302">
        <v>0</v>
      </c>
      <c r="L170" s="302">
        <v>0</v>
      </c>
      <c r="M170" s="302">
        <v>1282775.9999999998</v>
      </c>
      <c r="N170" s="302">
        <v>0</v>
      </c>
    </row>
    <row r="171" spans="1:14" x14ac:dyDescent="0.3">
      <c r="A171" s="334" t="s">
        <v>1034</v>
      </c>
      <c r="B171" s="334"/>
      <c r="C171" s="335">
        <v>-516642.20689655171</v>
      </c>
      <c r="D171" s="335"/>
      <c r="E171" s="335">
        <v>-2200</v>
      </c>
      <c r="F171" s="335">
        <v>-518842.20689655171</v>
      </c>
      <c r="G171" s="335">
        <v>6421862.6317241369</v>
      </c>
      <c r="H171" s="335">
        <v>0</v>
      </c>
      <c r="I171" s="335">
        <v>27345.999999999996</v>
      </c>
      <c r="J171" s="336">
        <v>6449208.6317241369</v>
      </c>
      <c r="K171" s="335">
        <v>209563.1999999996</v>
      </c>
      <c r="L171" s="335">
        <v>7895009.7415590417</v>
      </c>
      <c r="M171" s="335">
        <v>14553781.573283177</v>
      </c>
      <c r="N171" s="335">
        <v>8104572.9415590409</v>
      </c>
    </row>
    <row r="172" spans="1:14" x14ac:dyDescent="0.3">
      <c r="A172" t="s">
        <v>1035</v>
      </c>
      <c r="B172" t="s">
        <v>1036</v>
      </c>
      <c r="C172" s="302">
        <v>-147120</v>
      </c>
      <c r="D172" s="302"/>
      <c r="E172" s="302">
        <v>-61708.045977011512</v>
      </c>
      <c r="F172" s="302">
        <v>-208828.0459770115</v>
      </c>
      <c r="G172" s="331">
        <v>1828701.5999999999</v>
      </c>
      <c r="H172" s="302">
        <v>0</v>
      </c>
      <c r="I172" s="302">
        <v>767031.01149425306</v>
      </c>
      <c r="J172" s="302">
        <v>2595732.6114942525</v>
      </c>
      <c r="K172" s="302">
        <v>116424</v>
      </c>
      <c r="L172" s="302">
        <v>535666.93046060542</v>
      </c>
      <c r="M172" s="302">
        <v>3247823.5419548578</v>
      </c>
      <c r="N172" s="302">
        <v>652090.93046060542</v>
      </c>
    </row>
    <row r="173" spans="1:14" x14ac:dyDescent="0.3">
      <c r="A173" t="s">
        <v>1035</v>
      </c>
      <c r="B173" t="s">
        <v>3379</v>
      </c>
      <c r="C173" s="302">
        <v>-72203.149425287353</v>
      </c>
      <c r="D173" s="302"/>
      <c r="E173" s="302"/>
      <c r="F173" s="302">
        <v>-72203.149425287353</v>
      </c>
      <c r="G173" s="331">
        <v>897485.14735632169</v>
      </c>
      <c r="H173" s="302">
        <v>0</v>
      </c>
      <c r="I173" s="302">
        <v>0</v>
      </c>
      <c r="J173" s="302">
        <v>897485.14735632169</v>
      </c>
      <c r="K173" s="302">
        <v>0</v>
      </c>
      <c r="L173" s="302">
        <v>0</v>
      </c>
      <c r="M173" s="302">
        <v>897485.14735632169</v>
      </c>
      <c r="N173" s="302">
        <v>0</v>
      </c>
    </row>
    <row r="174" spans="1:14" x14ac:dyDescent="0.3">
      <c r="A174" t="s">
        <v>1035</v>
      </c>
      <c r="B174" t="s">
        <v>3380</v>
      </c>
      <c r="C174" s="302">
        <v>-79950</v>
      </c>
      <c r="D174" s="302"/>
      <c r="E174" s="302"/>
      <c r="F174" s="302">
        <v>-79950</v>
      </c>
      <c r="G174" s="331">
        <v>993778.49999999988</v>
      </c>
      <c r="H174" s="302">
        <v>0</v>
      </c>
      <c r="I174" s="302">
        <v>0</v>
      </c>
      <c r="J174" s="302">
        <v>993778.49999999988</v>
      </c>
      <c r="K174" s="302">
        <v>116424</v>
      </c>
      <c r="L174" s="302">
        <v>0</v>
      </c>
      <c r="M174" s="302">
        <v>1110202.5</v>
      </c>
      <c r="N174" s="302">
        <v>116424</v>
      </c>
    </row>
    <row r="175" spans="1:14" x14ac:dyDescent="0.3">
      <c r="A175" t="s">
        <v>1035</v>
      </c>
      <c r="B175" t="s">
        <v>1037</v>
      </c>
      <c r="C175" s="302">
        <v>-16300</v>
      </c>
      <c r="D175" s="302"/>
      <c r="E175" s="302">
        <v>-7500</v>
      </c>
      <c r="F175" s="302">
        <v>-23800</v>
      </c>
      <c r="G175" s="331">
        <v>202608.99999999997</v>
      </c>
      <c r="H175" s="302">
        <v>0</v>
      </c>
      <c r="I175" s="302">
        <v>93224.999999999985</v>
      </c>
      <c r="J175" s="302">
        <v>295834</v>
      </c>
      <c r="K175" s="302">
        <v>0</v>
      </c>
      <c r="L175" s="302">
        <v>3958202.715957786</v>
      </c>
      <c r="M175" s="302">
        <v>4254036.715957786</v>
      </c>
      <c r="N175" s="302">
        <v>3958202.715957786</v>
      </c>
    </row>
    <row r="176" spans="1:14" x14ac:dyDescent="0.3">
      <c r="A176" t="s">
        <v>1035</v>
      </c>
      <c r="B176" t="s">
        <v>1038</v>
      </c>
      <c r="C176" s="302"/>
      <c r="D176" s="302"/>
      <c r="E176" s="302"/>
      <c r="F176" s="302"/>
      <c r="G176" s="331"/>
      <c r="H176" s="302"/>
      <c r="I176" s="302"/>
      <c r="J176" s="302"/>
      <c r="K176" s="302"/>
      <c r="L176" s="302">
        <v>620475.02033932845</v>
      </c>
      <c r="M176" s="302">
        <v>620475.02033932845</v>
      </c>
      <c r="N176" s="302">
        <v>620475.02033932845</v>
      </c>
    </row>
    <row r="177" spans="1:14" x14ac:dyDescent="0.3">
      <c r="A177" t="s">
        <v>1035</v>
      </c>
      <c r="B177" t="s">
        <v>1039</v>
      </c>
      <c r="C177" s="302">
        <v>-21400</v>
      </c>
      <c r="D177" s="302"/>
      <c r="E177" s="302"/>
      <c r="F177" s="302">
        <v>-21400</v>
      </c>
      <c r="G177" s="331">
        <v>266002</v>
      </c>
      <c r="H177" s="302">
        <v>0</v>
      </c>
      <c r="I177" s="302">
        <v>0</v>
      </c>
      <c r="J177" s="302">
        <v>266002</v>
      </c>
      <c r="K177" s="302">
        <v>0</v>
      </c>
      <c r="L177" s="302">
        <v>620475.02033932845</v>
      </c>
      <c r="M177" s="302">
        <v>886477.02033932845</v>
      </c>
      <c r="N177" s="302">
        <v>620475.02033932845</v>
      </c>
    </row>
    <row r="178" spans="1:14" x14ac:dyDescent="0.3">
      <c r="A178" t="s">
        <v>1035</v>
      </c>
      <c r="B178" t="s">
        <v>3044</v>
      </c>
      <c r="C178" s="302">
        <v>-2600</v>
      </c>
      <c r="D178" s="302"/>
      <c r="E178" s="302"/>
      <c r="F178" s="302">
        <v>-2600</v>
      </c>
      <c r="G178" s="331">
        <v>32317.999999999996</v>
      </c>
      <c r="H178" s="302">
        <v>0</v>
      </c>
      <c r="I178" s="302">
        <v>0</v>
      </c>
      <c r="J178" s="302">
        <v>32317.999999999996</v>
      </c>
      <c r="K178" s="302">
        <v>0</v>
      </c>
      <c r="L178" s="302">
        <v>0</v>
      </c>
      <c r="M178" s="302">
        <v>32317.999999999996</v>
      </c>
      <c r="N178" s="302">
        <v>0</v>
      </c>
    </row>
    <row r="179" spans="1:14" x14ac:dyDescent="0.3">
      <c r="A179" s="334" t="s">
        <v>1040</v>
      </c>
      <c r="B179" s="334"/>
      <c r="C179" s="335">
        <v>-339573.14942528738</v>
      </c>
      <c r="D179" s="335"/>
      <c r="E179" s="335">
        <v>-69208.045977011512</v>
      </c>
      <c r="F179" s="335">
        <v>-408781.19540229882</v>
      </c>
      <c r="G179" s="335">
        <v>4220894.2473563217</v>
      </c>
      <c r="H179" s="335">
        <v>0</v>
      </c>
      <c r="I179" s="335">
        <v>860256.01149425306</v>
      </c>
      <c r="J179" s="336">
        <v>5081150.2588505736</v>
      </c>
      <c r="K179" s="335">
        <v>232848</v>
      </c>
      <c r="L179" s="335">
        <v>5734819.6870970475</v>
      </c>
      <c r="M179" s="335">
        <v>11048817.945947621</v>
      </c>
      <c r="N179" s="335">
        <v>5967667.6870970475</v>
      </c>
    </row>
    <row r="180" spans="1:14" x14ac:dyDescent="0.3">
      <c r="A180" t="s">
        <v>1041</v>
      </c>
      <c r="B180" t="s">
        <v>3381</v>
      </c>
      <c r="C180" s="302">
        <v>-164622.47126436781</v>
      </c>
      <c r="D180" s="302"/>
      <c r="E180" s="302"/>
      <c r="F180" s="302">
        <v>-164622.47126436781</v>
      </c>
      <c r="G180" s="331">
        <v>2046257.3178160915</v>
      </c>
      <c r="H180" s="302">
        <v>0</v>
      </c>
      <c r="I180" s="302">
        <v>0</v>
      </c>
      <c r="J180" s="302">
        <v>2046257.3178160915</v>
      </c>
      <c r="K180" s="302">
        <v>186278.40000000002</v>
      </c>
      <c r="L180" s="302">
        <v>0</v>
      </c>
      <c r="M180" s="302">
        <v>2232535.7178160916</v>
      </c>
      <c r="N180" s="302">
        <v>186278.40000000002</v>
      </c>
    </row>
    <row r="181" spans="1:14" x14ac:dyDescent="0.3">
      <c r="A181" t="s">
        <v>1041</v>
      </c>
      <c r="B181" t="s">
        <v>3382</v>
      </c>
      <c r="C181" s="302">
        <v>-101629.95331513745</v>
      </c>
      <c r="D181" s="302"/>
      <c r="E181" s="302"/>
      <c r="F181" s="302">
        <v>-101629.95331513745</v>
      </c>
      <c r="G181" s="331">
        <v>1263260.3197071583</v>
      </c>
      <c r="H181" s="302">
        <v>0</v>
      </c>
      <c r="I181" s="302">
        <v>0</v>
      </c>
      <c r="J181" s="302">
        <v>1263260.3197071583</v>
      </c>
      <c r="K181" s="302">
        <v>69854.399999999994</v>
      </c>
      <c r="L181" s="302">
        <v>0</v>
      </c>
      <c r="M181" s="302">
        <v>1333114.7197071582</v>
      </c>
      <c r="N181" s="302">
        <v>69854.399999999994</v>
      </c>
    </row>
    <row r="182" spans="1:14" x14ac:dyDescent="0.3">
      <c r="A182" t="s">
        <v>1041</v>
      </c>
      <c r="B182" t="s">
        <v>1042</v>
      </c>
      <c r="C182" s="302">
        <v>-29600</v>
      </c>
      <c r="D182" s="302"/>
      <c r="E182" s="302"/>
      <c r="F182" s="302">
        <v>-29600</v>
      </c>
      <c r="G182" s="331">
        <v>367927.99999999994</v>
      </c>
      <c r="H182" s="302">
        <v>0</v>
      </c>
      <c r="I182" s="302">
        <v>0</v>
      </c>
      <c r="J182" s="302">
        <v>367927.99999999994</v>
      </c>
      <c r="K182" s="302">
        <v>0</v>
      </c>
      <c r="L182" s="302">
        <v>4197834.4479509052</v>
      </c>
      <c r="M182" s="302">
        <v>4565762.4479509052</v>
      </c>
      <c r="N182" s="302">
        <v>4197834.4479509052</v>
      </c>
    </row>
    <row r="183" spans="1:14" x14ac:dyDescent="0.3">
      <c r="A183" t="s">
        <v>1041</v>
      </c>
      <c r="B183" t="s">
        <v>1043</v>
      </c>
      <c r="C183" s="302"/>
      <c r="D183" s="302"/>
      <c r="E183" s="302"/>
      <c r="F183" s="302"/>
      <c r="G183" s="331"/>
      <c r="H183" s="302"/>
      <c r="I183" s="302"/>
      <c r="J183" s="302"/>
      <c r="K183" s="302"/>
      <c r="L183" s="302">
        <v>620475.02033932845</v>
      </c>
      <c r="M183" s="302">
        <v>620475.02033932845</v>
      </c>
      <c r="N183" s="302">
        <v>620475.02033932845</v>
      </c>
    </row>
    <row r="184" spans="1:14" x14ac:dyDescent="0.3">
      <c r="A184" t="s">
        <v>1041</v>
      </c>
      <c r="B184" t="s">
        <v>3039</v>
      </c>
      <c r="C184" s="302">
        <v>-63000</v>
      </c>
      <c r="D184" s="302"/>
      <c r="E184" s="302"/>
      <c r="F184" s="302">
        <v>-63000</v>
      </c>
      <c r="G184" s="331">
        <v>783089.99999999988</v>
      </c>
      <c r="H184" s="302">
        <v>0</v>
      </c>
      <c r="I184" s="302">
        <v>0</v>
      </c>
      <c r="J184" s="302">
        <v>783089.99999999988</v>
      </c>
      <c r="K184" s="302">
        <v>0</v>
      </c>
      <c r="L184" s="302">
        <v>0</v>
      </c>
      <c r="M184" s="302">
        <v>783089.99999999988</v>
      </c>
      <c r="N184" s="302">
        <v>0</v>
      </c>
    </row>
    <row r="185" spans="1:14" x14ac:dyDescent="0.3">
      <c r="A185" t="s">
        <v>1041</v>
      </c>
      <c r="B185" t="s">
        <v>3040</v>
      </c>
      <c r="C185" s="302">
        <v>-12800</v>
      </c>
      <c r="D185" s="302"/>
      <c r="E185" s="302"/>
      <c r="F185" s="302">
        <v>-12800</v>
      </c>
      <c r="G185" s="331">
        <v>159103.99999999997</v>
      </c>
      <c r="H185" s="302">
        <v>0</v>
      </c>
      <c r="I185" s="302">
        <v>0</v>
      </c>
      <c r="J185" s="302">
        <v>159103.99999999997</v>
      </c>
      <c r="K185" s="302">
        <v>0</v>
      </c>
      <c r="L185" s="302">
        <v>0</v>
      </c>
      <c r="M185" s="302">
        <v>159103.99999999997</v>
      </c>
      <c r="N185" s="302">
        <v>0</v>
      </c>
    </row>
    <row r="186" spans="1:14" x14ac:dyDescent="0.3">
      <c r="A186" s="334" t="s">
        <v>1044</v>
      </c>
      <c r="B186" s="334"/>
      <c r="C186" s="335">
        <v>-371652.42457950523</v>
      </c>
      <c r="D186" s="335"/>
      <c r="E186" s="335"/>
      <c r="F186" s="335">
        <v>-371652.42457950523</v>
      </c>
      <c r="G186" s="335">
        <v>4619639.6375232497</v>
      </c>
      <c r="H186" s="335">
        <v>0</v>
      </c>
      <c r="I186" s="335">
        <v>0</v>
      </c>
      <c r="J186" s="336">
        <v>4619639.6375232497</v>
      </c>
      <c r="K186" s="335">
        <v>256132.80000000002</v>
      </c>
      <c r="L186" s="335">
        <v>4818309.468290234</v>
      </c>
      <c r="M186" s="335">
        <v>9694081.9058134835</v>
      </c>
      <c r="N186" s="335">
        <v>5074442.2682902338</v>
      </c>
    </row>
    <row r="187" spans="1:14" x14ac:dyDescent="0.3">
      <c r="A187" t="s">
        <v>1045</v>
      </c>
      <c r="B187" t="s">
        <v>1046</v>
      </c>
      <c r="C187" s="302">
        <v>-201715</v>
      </c>
      <c r="D187" s="302"/>
      <c r="E187" s="302">
        <v>-152000</v>
      </c>
      <c r="F187" s="302">
        <v>-353715</v>
      </c>
      <c r="G187" s="331">
        <v>2507317.4499999997</v>
      </c>
      <c r="H187" s="302">
        <v>0</v>
      </c>
      <c r="I187" s="302">
        <v>1889359.9999999998</v>
      </c>
      <c r="J187" s="302">
        <v>4396677.4499999993</v>
      </c>
      <c r="K187" s="302">
        <v>235620</v>
      </c>
      <c r="L187" s="302">
        <v>12837.41421391714</v>
      </c>
      <c r="M187" s="302">
        <v>4645134.8642139165</v>
      </c>
      <c r="N187" s="302">
        <v>248457.41421391713</v>
      </c>
    </row>
    <row r="188" spans="1:14" x14ac:dyDescent="0.3">
      <c r="A188" t="s">
        <v>1045</v>
      </c>
      <c r="B188" t="s">
        <v>3383</v>
      </c>
      <c r="C188" s="302">
        <v>-41000</v>
      </c>
      <c r="D188" s="302"/>
      <c r="E188" s="302"/>
      <c r="F188" s="302">
        <v>-41000</v>
      </c>
      <c r="G188" s="331">
        <v>509629.99999999994</v>
      </c>
      <c r="H188" s="302">
        <v>0</v>
      </c>
      <c r="I188" s="302">
        <v>0</v>
      </c>
      <c r="J188" s="302">
        <v>509629.99999999994</v>
      </c>
      <c r="K188" s="302">
        <v>116424</v>
      </c>
      <c r="L188" s="302">
        <v>0</v>
      </c>
      <c r="M188" s="302">
        <v>626054</v>
      </c>
      <c r="N188" s="302">
        <v>116424</v>
      </c>
    </row>
    <row r="189" spans="1:14" x14ac:dyDescent="0.3">
      <c r="A189" t="s">
        <v>1045</v>
      </c>
      <c r="B189" t="s">
        <v>1047</v>
      </c>
      <c r="C189" s="302">
        <v>-23600</v>
      </c>
      <c r="D189" s="302"/>
      <c r="E189" s="302"/>
      <c r="F189" s="302">
        <v>-23600</v>
      </c>
      <c r="G189" s="331">
        <v>293348</v>
      </c>
      <c r="H189" s="302">
        <v>0</v>
      </c>
      <c r="I189" s="302">
        <v>0</v>
      </c>
      <c r="J189" s="302">
        <v>293348</v>
      </c>
      <c r="K189" s="302">
        <v>0</v>
      </c>
      <c r="L189" s="302">
        <v>5141384.3926738147</v>
      </c>
      <c r="M189" s="302">
        <v>5434732.3926738147</v>
      </c>
      <c r="N189" s="302">
        <v>5141384.3926738147</v>
      </c>
    </row>
    <row r="190" spans="1:14" x14ac:dyDescent="0.3">
      <c r="A190" t="s">
        <v>1045</v>
      </c>
      <c r="B190" t="s">
        <v>1048</v>
      </c>
      <c r="C190" s="302">
        <v>-47800</v>
      </c>
      <c r="D190" s="302"/>
      <c r="E190" s="302"/>
      <c r="F190" s="302">
        <v>-47800</v>
      </c>
      <c r="G190" s="331">
        <v>594154</v>
      </c>
      <c r="H190" s="302">
        <v>0</v>
      </c>
      <c r="I190" s="302">
        <v>0</v>
      </c>
      <c r="J190" s="302">
        <v>594154</v>
      </c>
      <c r="K190" s="302">
        <v>0</v>
      </c>
      <c r="L190" s="302">
        <v>1240950.0406786569</v>
      </c>
      <c r="M190" s="302">
        <v>1835104.0406786569</v>
      </c>
      <c r="N190" s="302">
        <v>1240950.0406786569</v>
      </c>
    </row>
    <row r="191" spans="1:14" x14ac:dyDescent="0.3">
      <c r="A191" t="s">
        <v>1045</v>
      </c>
      <c r="B191" t="s">
        <v>3089</v>
      </c>
      <c r="C191" s="302">
        <v>-73100</v>
      </c>
      <c r="D191" s="302"/>
      <c r="E191" s="302"/>
      <c r="F191" s="302">
        <v>-73100</v>
      </c>
      <c r="G191" s="331">
        <v>908632.99999999988</v>
      </c>
      <c r="H191" s="302">
        <v>0</v>
      </c>
      <c r="I191" s="302">
        <v>0</v>
      </c>
      <c r="J191" s="302">
        <v>908632.99999999988</v>
      </c>
      <c r="K191" s="302">
        <v>0</v>
      </c>
      <c r="L191" s="302">
        <v>0</v>
      </c>
      <c r="M191" s="302">
        <v>908632.99999999988</v>
      </c>
      <c r="N191" s="302">
        <v>0</v>
      </c>
    </row>
    <row r="192" spans="1:14" x14ac:dyDescent="0.3">
      <c r="A192" s="334" t="s">
        <v>1049</v>
      </c>
      <c r="B192" s="334"/>
      <c r="C192" s="335">
        <v>-387215</v>
      </c>
      <c r="D192" s="335"/>
      <c r="E192" s="335">
        <v>-152000</v>
      </c>
      <c r="F192" s="335">
        <v>-539215</v>
      </c>
      <c r="G192" s="335">
        <v>4813082.4499999993</v>
      </c>
      <c r="H192" s="335">
        <v>0</v>
      </c>
      <c r="I192" s="335">
        <v>1889359.9999999998</v>
      </c>
      <c r="J192" s="336">
        <v>6702442.4499999993</v>
      </c>
      <c r="K192" s="335">
        <v>352044</v>
      </c>
      <c r="L192" s="335">
        <v>6395171.8475663885</v>
      </c>
      <c r="M192" s="335">
        <v>13449658.297566388</v>
      </c>
      <c r="N192" s="335">
        <v>6747215.8475663885</v>
      </c>
    </row>
    <row r="193" spans="1:14" x14ac:dyDescent="0.3">
      <c r="A193" t="s">
        <v>1050</v>
      </c>
      <c r="B193" t="s">
        <v>1052</v>
      </c>
      <c r="C193" s="302">
        <v>-11000</v>
      </c>
      <c r="D193" s="302"/>
      <c r="E193" s="302"/>
      <c r="F193" s="302">
        <v>-11000</v>
      </c>
      <c r="G193" s="331">
        <v>136730</v>
      </c>
      <c r="H193" s="302">
        <v>0</v>
      </c>
      <c r="I193" s="302">
        <v>0</v>
      </c>
      <c r="J193" s="302">
        <v>136730</v>
      </c>
      <c r="K193" s="302">
        <v>0</v>
      </c>
      <c r="L193" s="302">
        <v>81303.623354808544</v>
      </c>
      <c r="M193" s="302">
        <v>218033.62335480854</v>
      </c>
      <c r="N193" s="302">
        <v>81303.623354808544</v>
      </c>
    </row>
    <row r="194" spans="1:14" x14ac:dyDescent="0.3">
      <c r="A194" t="s">
        <v>1050</v>
      </c>
      <c r="B194" t="s">
        <v>1053</v>
      </c>
      <c r="C194" s="302"/>
      <c r="D194" s="302"/>
      <c r="E194" s="302"/>
      <c r="F194" s="302"/>
      <c r="G194" s="331"/>
      <c r="H194" s="302"/>
      <c r="I194" s="302"/>
      <c r="J194" s="302"/>
      <c r="K194" s="302"/>
      <c r="L194" s="302">
        <v>162607.24670961709</v>
      </c>
      <c r="M194" s="302">
        <v>162607.24670961709</v>
      </c>
      <c r="N194" s="302">
        <v>162607.24670961709</v>
      </c>
    </row>
    <row r="195" spans="1:14" x14ac:dyDescent="0.3">
      <c r="A195" s="334" t="s">
        <v>1054</v>
      </c>
      <c r="B195" s="334"/>
      <c r="C195" s="335">
        <v>-11000</v>
      </c>
      <c r="D195" s="335"/>
      <c r="E195" s="335"/>
      <c r="F195" s="335">
        <v>-11000</v>
      </c>
      <c r="G195" s="335">
        <v>136730</v>
      </c>
      <c r="H195" s="335">
        <v>0</v>
      </c>
      <c r="I195" s="335">
        <v>0</v>
      </c>
      <c r="J195" s="336">
        <v>136730</v>
      </c>
      <c r="K195" s="335">
        <v>0</v>
      </c>
      <c r="L195" s="335">
        <v>243910.87006442566</v>
      </c>
      <c r="M195" s="335">
        <v>380640.87006442563</v>
      </c>
      <c r="N195" s="335">
        <v>243910.87006442566</v>
      </c>
    </row>
    <row r="196" spans="1:14" x14ac:dyDescent="0.3">
      <c r="A196" t="s">
        <v>1055</v>
      </c>
      <c r="B196" t="s">
        <v>1056</v>
      </c>
      <c r="C196" s="302">
        <v>-334197</v>
      </c>
      <c r="D196" s="302"/>
      <c r="E196" s="302">
        <v>-211000</v>
      </c>
      <c r="F196" s="302">
        <v>-545197</v>
      </c>
      <c r="G196" s="331">
        <v>4154068.7099999995</v>
      </c>
      <c r="H196" s="302">
        <v>0</v>
      </c>
      <c r="I196" s="302">
        <v>2622729.9999999995</v>
      </c>
      <c r="J196" s="302">
        <v>6776798.709999999</v>
      </c>
      <c r="K196" s="302">
        <v>0</v>
      </c>
      <c r="L196" s="302">
        <v>3175120.4489088398</v>
      </c>
      <c r="M196" s="302">
        <v>9951919.1589088384</v>
      </c>
      <c r="N196" s="302">
        <v>3175120.4489088398</v>
      </c>
    </row>
    <row r="197" spans="1:14" x14ac:dyDescent="0.3">
      <c r="A197" t="s">
        <v>1055</v>
      </c>
      <c r="B197" t="s">
        <v>3384</v>
      </c>
      <c r="C197" s="302">
        <v>-40760</v>
      </c>
      <c r="D197" s="302"/>
      <c r="E197" s="302"/>
      <c r="F197" s="302">
        <v>-40760</v>
      </c>
      <c r="G197" s="331">
        <v>506646.79999999993</v>
      </c>
      <c r="H197" s="302">
        <v>0</v>
      </c>
      <c r="I197" s="302">
        <v>0</v>
      </c>
      <c r="J197" s="302">
        <v>506646.79999999993</v>
      </c>
      <c r="K197" s="302">
        <v>116424</v>
      </c>
      <c r="L197" s="302">
        <v>0</v>
      </c>
      <c r="M197" s="302">
        <v>623070.79999999993</v>
      </c>
      <c r="N197" s="302">
        <v>116424</v>
      </c>
    </row>
    <row r="198" spans="1:14" x14ac:dyDescent="0.3">
      <c r="A198" t="s">
        <v>1055</v>
      </c>
      <c r="B198" t="s">
        <v>1057</v>
      </c>
      <c r="C198" s="302"/>
      <c r="D198" s="302"/>
      <c r="E198" s="302"/>
      <c r="F198" s="302"/>
      <c r="G198" s="331"/>
      <c r="H198" s="302"/>
      <c r="I198" s="302"/>
      <c r="J198" s="302"/>
      <c r="K198" s="302"/>
      <c r="L198" s="302">
        <v>308097.94113401143</v>
      </c>
      <c r="M198" s="302">
        <v>308097.94113401143</v>
      </c>
      <c r="N198" s="302">
        <v>308097.94113401143</v>
      </c>
    </row>
    <row r="199" spans="1:14" x14ac:dyDescent="0.3">
      <c r="A199" s="334" t="s">
        <v>1058</v>
      </c>
      <c r="B199" s="334"/>
      <c r="C199" s="335">
        <v>-374957</v>
      </c>
      <c r="D199" s="335"/>
      <c r="E199" s="335">
        <v>-211000</v>
      </c>
      <c r="F199" s="335">
        <v>-585957</v>
      </c>
      <c r="G199" s="335">
        <v>4660715.51</v>
      </c>
      <c r="H199" s="335">
        <v>0</v>
      </c>
      <c r="I199" s="335">
        <v>2622729.9999999995</v>
      </c>
      <c r="J199" s="336">
        <v>7283445.5099999998</v>
      </c>
      <c r="K199" s="335">
        <v>116424</v>
      </c>
      <c r="L199" s="335">
        <v>3483218.3900428512</v>
      </c>
      <c r="M199" s="335">
        <v>10883087.900042851</v>
      </c>
      <c r="N199" s="335">
        <v>3599642.3900428512</v>
      </c>
    </row>
    <row r="200" spans="1:14" x14ac:dyDescent="0.3">
      <c r="A200" t="s">
        <v>1059</v>
      </c>
      <c r="B200" t="s">
        <v>1060</v>
      </c>
      <c r="C200" s="302">
        <v>-162585</v>
      </c>
      <c r="D200" s="302"/>
      <c r="E200" s="302">
        <v>-182500</v>
      </c>
      <c r="F200" s="302">
        <v>-345085</v>
      </c>
      <c r="G200" s="331">
        <v>2020931.5499999998</v>
      </c>
      <c r="H200" s="302">
        <v>0</v>
      </c>
      <c r="I200" s="302">
        <v>2268475</v>
      </c>
      <c r="J200" s="302">
        <v>4289406.55</v>
      </c>
      <c r="K200" s="302">
        <v>116424</v>
      </c>
      <c r="L200" s="302">
        <v>526333.9827706028</v>
      </c>
      <c r="M200" s="302">
        <v>4932164.532770603</v>
      </c>
      <c r="N200" s="302">
        <v>642757.9827706028</v>
      </c>
    </row>
    <row r="201" spans="1:14" x14ac:dyDescent="0.3">
      <c r="A201" t="s">
        <v>1059</v>
      </c>
      <c r="B201" t="s">
        <v>3385</v>
      </c>
      <c r="C201" s="302">
        <v>-17575</v>
      </c>
      <c r="D201" s="302"/>
      <c r="E201" s="302">
        <v>-18900</v>
      </c>
      <c r="F201" s="302">
        <v>-36475</v>
      </c>
      <c r="G201" s="331">
        <v>218457.24999999997</v>
      </c>
      <c r="H201" s="302">
        <v>0</v>
      </c>
      <c r="I201" s="302">
        <v>234926.99999999997</v>
      </c>
      <c r="J201" s="302">
        <v>453384.24999999994</v>
      </c>
      <c r="K201" s="302">
        <v>0</v>
      </c>
      <c r="L201" s="302">
        <v>0</v>
      </c>
      <c r="M201" s="302">
        <v>453384.24999999994</v>
      </c>
      <c r="N201" s="302">
        <v>0</v>
      </c>
    </row>
    <row r="202" spans="1:14" x14ac:dyDescent="0.3">
      <c r="A202" s="334" t="s">
        <v>1061</v>
      </c>
      <c r="B202" s="334"/>
      <c r="C202" s="335">
        <v>-180160</v>
      </c>
      <c r="D202" s="335"/>
      <c r="E202" s="335">
        <v>-201400</v>
      </c>
      <c r="F202" s="335">
        <v>-381560</v>
      </c>
      <c r="G202" s="335">
        <v>2239388.7999999998</v>
      </c>
      <c r="H202" s="335">
        <v>0</v>
      </c>
      <c r="I202" s="335">
        <v>2503401.9999999995</v>
      </c>
      <c r="J202" s="336">
        <v>4742790.8</v>
      </c>
      <c r="K202" s="335">
        <v>116424</v>
      </c>
      <c r="L202" s="335">
        <v>526333.9827706028</v>
      </c>
      <c r="M202" s="335">
        <v>5385548.782770603</v>
      </c>
      <c r="N202" s="335">
        <v>642757.9827706028</v>
      </c>
    </row>
    <row r="203" spans="1:14" x14ac:dyDescent="0.3">
      <c r="A203" t="s">
        <v>3386</v>
      </c>
      <c r="B203" t="s">
        <v>3387</v>
      </c>
      <c r="C203" s="302">
        <v>-118900</v>
      </c>
      <c r="D203" s="302"/>
      <c r="E203" s="302"/>
      <c r="F203" s="302">
        <v>-118900</v>
      </c>
      <c r="G203" s="331">
        <v>1477926.9999999998</v>
      </c>
      <c r="H203" s="302">
        <v>0</v>
      </c>
      <c r="I203" s="302">
        <v>0</v>
      </c>
      <c r="J203" s="302">
        <v>1477926.9999999998</v>
      </c>
      <c r="K203" s="302">
        <v>0</v>
      </c>
      <c r="L203" s="302">
        <v>0</v>
      </c>
      <c r="M203" s="302">
        <v>1477926.9999999998</v>
      </c>
      <c r="N203" s="302">
        <v>0</v>
      </c>
    </row>
    <row r="204" spans="1:14" x14ac:dyDescent="0.3">
      <c r="A204" s="334" t="s">
        <v>3388</v>
      </c>
      <c r="B204" s="334"/>
      <c r="C204" s="335">
        <v>-118900</v>
      </c>
      <c r="D204" s="335"/>
      <c r="E204" s="335"/>
      <c r="F204" s="335">
        <v>-118900</v>
      </c>
      <c r="G204" s="335">
        <v>1477926.9999999998</v>
      </c>
      <c r="H204" s="335">
        <v>0</v>
      </c>
      <c r="I204" s="335">
        <v>0</v>
      </c>
      <c r="J204" s="336">
        <v>1477926.9999999998</v>
      </c>
      <c r="K204" s="335">
        <v>0</v>
      </c>
      <c r="L204" s="335">
        <v>0</v>
      </c>
      <c r="M204" s="335">
        <v>1477926.9999999998</v>
      </c>
      <c r="N204" s="335">
        <v>0</v>
      </c>
    </row>
    <row r="205" spans="1:14" x14ac:dyDescent="0.3">
      <c r="A205" t="s">
        <v>1062</v>
      </c>
      <c r="B205" t="s">
        <v>1063</v>
      </c>
      <c r="C205" s="302">
        <v>-296144</v>
      </c>
      <c r="D205" s="302"/>
      <c r="E205" s="302"/>
      <c r="F205" s="302">
        <v>-296144</v>
      </c>
      <c r="G205" s="331">
        <v>3681069.9199999995</v>
      </c>
      <c r="H205" s="302">
        <v>0</v>
      </c>
      <c r="I205" s="302">
        <v>0</v>
      </c>
      <c r="J205" s="302">
        <v>3681069.9199999995</v>
      </c>
      <c r="K205" s="302">
        <v>0</v>
      </c>
      <c r="L205" s="302">
        <v>928572.96147333994</v>
      </c>
      <c r="M205" s="302">
        <v>4609642.8814733392</v>
      </c>
      <c r="N205" s="302">
        <v>928572.96147333994</v>
      </c>
    </row>
    <row r="206" spans="1:14" x14ac:dyDescent="0.3">
      <c r="A206" t="s">
        <v>1062</v>
      </c>
      <c r="B206" t="s">
        <v>3389</v>
      </c>
      <c r="C206" s="302">
        <v>-22490</v>
      </c>
      <c r="D206" s="302"/>
      <c r="E206" s="302"/>
      <c r="F206" s="302">
        <v>-22490</v>
      </c>
      <c r="G206" s="331">
        <v>279550.69999999995</v>
      </c>
      <c r="H206" s="302">
        <v>0</v>
      </c>
      <c r="I206" s="302">
        <v>0</v>
      </c>
      <c r="J206" s="302">
        <v>279550.69999999995</v>
      </c>
      <c r="K206" s="302">
        <v>0</v>
      </c>
      <c r="L206" s="302">
        <v>0</v>
      </c>
      <c r="M206" s="302">
        <v>279550.69999999995</v>
      </c>
      <c r="N206" s="302">
        <v>0</v>
      </c>
    </row>
    <row r="207" spans="1:14" x14ac:dyDescent="0.3">
      <c r="A207" t="s">
        <v>1062</v>
      </c>
      <c r="B207" t="s">
        <v>3390</v>
      </c>
      <c r="C207" s="302">
        <v>-8440</v>
      </c>
      <c r="D207" s="302"/>
      <c r="E207" s="302"/>
      <c r="F207" s="302">
        <v>-8440</v>
      </c>
      <c r="G207" s="331">
        <v>104909.2</v>
      </c>
      <c r="H207" s="302">
        <v>0</v>
      </c>
      <c r="I207" s="302">
        <v>0</v>
      </c>
      <c r="J207" s="302">
        <v>104909.2</v>
      </c>
      <c r="K207" s="302">
        <v>0</v>
      </c>
      <c r="L207" s="302">
        <v>0</v>
      </c>
      <c r="M207" s="302">
        <v>104909.2</v>
      </c>
      <c r="N207" s="302">
        <v>0</v>
      </c>
    </row>
    <row r="208" spans="1:14" x14ac:dyDescent="0.3">
      <c r="A208" t="s">
        <v>1062</v>
      </c>
      <c r="B208" t="s">
        <v>1064</v>
      </c>
      <c r="C208" s="302">
        <v>-73800</v>
      </c>
      <c r="D208" s="302"/>
      <c r="E208" s="302"/>
      <c r="F208" s="302">
        <v>-73800</v>
      </c>
      <c r="G208" s="331">
        <v>917333.99999999988</v>
      </c>
      <c r="H208" s="302">
        <v>0</v>
      </c>
      <c r="I208" s="302">
        <v>0</v>
      </c>
      <c r="J208" s="302">
        <v>917333.99999999988</v>
      </c>
      <c r="K208" s="302">
        <v>0</v>
      </c>
      <c r="L208" s="302">
        <v>4694686.8259565709</v>
      </c>
      <c r="M208" s="302">
        <v>5612020.8259565709</v>
      </c>
      <c r="N208" s="302">
        <v>4694686.8259565709</v>
      </c>
    </row>
    <row r="209" spans="1:14" x14ac:dyDescent="0.3">
      <c r="A209" t="s">
        <v>1062</v>
      </c>
      <c r="B209" t="s">
        <v>1065</v>
      </c>
      <c r="C209" s="302"/>
      <c r="D209" s="302"/>
      <c r="E209" s="302"/>
      <c r="F209" s="302"/>
      <c r="G209" s="331"/>
      <c r="H209" s="302"/>
      <c r="I209" s="302"/>
      <c r="J209" s="302"/>
      <c r="K209" s="302"/>
      <c r="L209" s="302">
        <v>86238.819390285309</v>
      </c>
      <c r="M209" s="302">
        <v>86238.819390285309</v>
      </c>
      <c r="N209" s="302">
        <v>86238.819390285309</v>
      </c>
    </row>
    <row r="210" spans="1:14" x14ac:dyDescent="0.3">
      <c r="A210" t="s">
        <v>1062</v>
      </c>
      <c r="B210" t="s">
        <v>3111</v>
      </c>
      <c r="C210" s="302">
        <v>-122000</v>
      </c>
      <c r="D210" s="302"/>
      <c r="E210" s="302"/>
      <c r="F210" s="302">
        <v>-122000</v>
      </c>
      <c r="G210" s="331">
        <v>1516459.9999999998</v>
      </c>
      <c r="H210" s="302">
        <v>0</v>
      </c>
      <c r="I210" s="302">
        <v>0</v>
      </c>
      <c r="J210" s="302">
        <v>1516459.9999999998</v>
      </c>
      <c r="K210" s="302">
        <v>0</v>
      </c>
      <c r="L210" s="302">
        <v>0</v>
      </c>
      <c r="M210" s="302">
        <v>1516459.9999999998</v>
      </c>
      <c r="N210" s="302">
        <v>0</v>
      </c>
    </row>
    <row r="211" spans="1:14" x14ac:dyDescent="0.3">
      <c r="A211" s="334" t="s">
        <v>1066</v>
      </c>
      <c r="B211" s="334"/>
      <c r="C211" s="335">
        <v>-522874</v>
      </c>
      <c r="D211" s="335"/>
      <c r="E211" s="335"/>
      <c r="F211" s="335">
        <v>-522874</v>
      </c>
      <c r="G211" s="335">
        <v>6499323.8199999994</v>
      </c>
      <c r="H211" s="335">
        <v>0</v>
      </c>
      <c r="I211" s="335">
        <v>0</v>
      </c>
      <c r="J211" s="336">
        <v>6499323.8199999994</v>
      </c>
      <c r="K211" s="335">
        <v>0</v>
      </c>
      <c r="L211" s="335">
        <v>5709498.6068201959</v>
      </c>
      <c r="M211" s="335">
        <v>12208822.426820196</v>
      </c>
      <c r="N211" s="335">
        <v>5709498.6068201959</v>
      </c>
    </row>
    <row r="212" spans="1:14" x14ac:dyDescent="0.3">
      <c r="A212" t="s">
        <v>3391</v>
      </c>
      <c r="B212" t="s">
        <v>3392</v>
      </c>
      <c r="C212" s="302">
        <v>-10000</v>
      </c>
      <c r="D212" s="302"/>
      <c r="E212" s="302"/>
      <c r="F212" s="302">
        <v>-10000</v>
      </c>
      <c r="G212" s="331">
        <v>124299.99999999999</v>
      </c>
      <c r="H212" s="302">
        <v>0</v>
      </c>
      <c r="I212" s="302">
        <v>0</v>
      </c>
      <c r="J212" s="302">
        <v>124299.99999999999</v>
      </c>
      <c r="K212" s="302">
        <v>0</v>
      </c>
      <c r="L212" s="302">
        <v>0</v>
      </c>
      <c r="M212" s="302">
        <v>124299.99999999999</v>
      </c>
      <c r="N212" s="302">
        <v>0</v>
      </c>
    </row>
    <row r="213" spans="1:14" x14ac:dyDescent="0.3">
      <c r="A213" t="s">
        <v>3391</v>
      </c>
      <c r="B213" t="s">
        <v>3393</v>
      </c>
      <c r="C213" s="302">
        <v>-2500</v>
      </c>
      <c r="D213" s="302"/>
      <c r="E213" s="302"/>
      <c r="F213" s="302">
        <v>-2500</v>
      </c>
      <c r="G213" s="331">
        <v>31074.999999999996</v>
      </c>
      <c r="H213" s="302">
        <v>0</v>
      </c>
      <c r="I213" s="302">
        <v>0</v>
      </c>
      <c r="J213" s="302">
        <v>31074.999999999996</v>
      </c>
      <c r="K213" s="302">
        <v>0</v>
      </c>
      <c r="L213" s="302">
        <v>0</v>
      </c>
      <c r="M213" s="302">
        <v>31074.999999999996</v>
      </c>
      <c r="N213" s="302">
        <v>0</v>
      </c>
    </row>
    <row r="214" spans="1:14" x14ac:dyDescent="0.3">
      <c r="A214" s="334" t="s">
        <v>3394</v>
      </c>
      <c r="B214" s="334"/>
      <c r="C214" s="335">
        <v>-12500</v>
      </c>
      <c r="D214" s="335"/>
      <c r="E214" s="335"/>
      <c r="F214" s="335">
        <v>-12500</v>
      </c>
      <c r="G214" s="335">
        <v>155374.99999999997</v>
      </c>
      <c r="H214" s="335">
        <v>0</v>
      </c>
      <c r="I214" s="335">
        <v>0</v>
      </c>
      <c r="J214" s="336">
        <v>155374.99999999997</v>
      </c>
      <c r="K214" s="335">
        <v>0</v>
      </c>
      <c r="L214" s="335">
        <v>0</v>
      </c>
      <c r="M214" s="335">
        <v>155374.99999999997</v>
      </c>
      <c r="N214" s="335">
        <v>0</v>
      </c>
    </row>
    <row r="215" spans="1:14" x14ac:dyDescent="0.3">
      <c r="A215" t="s">
        <v>3395</v>
      </c>
      <c r="B215" t="s">
        <v>3396</v>
      </c>
      <c r="C215" s="302">
        <v>-5200</v>
      </c>
      <c r="D215" s="302"/>
      <c r="E215" s="302"/>
      <c r="F215" s="302">
        <v>-5200</v>
      </c>
      <c r="G215" s="331">
        <v>64635.999999999993</v>
      </c>
      <c r="H215" s="302">
        <v>0</v>
      </c>
      <c r="I215" s="302">
        <v>0</v>
      </c>
      <c r="J215" s="302">
        <v>64635.999999999993</v>
      </c>
      <c r="K215" s="302">
        <v>76230</v>
      </c>
      <c r="L215" s="302">
        <v>0</v>
      </c>
      <c r="M215" s="302">
        <v>140866</v>
      </c>
      <c r="N215" s="302">
        <v>76230</v>
      </c>
    </row>
    <row r="216" spans="1:14" x14ac:dyDescent="0.3">
      <c r="A216" t="s">
        <v>3395</v>
      </c>
      <c r="B216" t="s">
        <v>3397</v>
      </c>
      <c r="C216" s="302"/>
      <c r="D216" s="302"/>
      <c r="E216" s="302"/>
      <c r="F216" s="302"/>
      <c r="G216" s="331"/>
      <c r="H216" s="302"/>
      <c r="I216" s="302"/>
      <c r="J216" s="302"/>
      <c r="K216" s="302">
        <v>116424</v>
      </c>
      <c r="L216" s="302">
        <v>0</v>
      </c>
      <c r="M216" s="302">
        <v>116424</v>
      </c>
      <c r="N216" s="302">
        <v>116424</v>
      </c>
    </row>
    <row r="217" spans="1:14" x14ac:dyDescent="0.3">
      <c r="A217" t="s">
        <v>3395</v>
      </c>
      <c r="B217" t="s">
        <v>3398</v>
      </c>
      <c r="C217" s="302"/>
      <c r="D217" s="302"/>
      <c r="E217" s="302"/>
      <c r="F217" s="302"/>
      <c r="G217" s="331"/>
      <c r="H217" s="302"/>
      <c r="I217" s="302"/>
      <c r="J217" s="302"/>
      <c r="K217" s="302">
        <v>42966</v>
      </c>
      <c r="L217" s="302">
        <v>0</v>
      </c>
      <c r="M217" s="302">
        <v>42966</v>
      </c>
      <c r="N217" s="302">
        <v>42966</v>
      </c>
    </row>
    <row r="218" spans="1:14" x14ac:dyDescent="0.3">
      <c r="A218" t="s">
        <v>3395</v>
      </c>
      <c r="B218" t="s">
        <v>3399</v>
      </c>
      <c r="C218" s="302">
        <v>-4900</v>
      </c>
      <c r="D218" s="302"/>
      <c r="E218" s="302"/>
      <c r="F218" s="302">
        <v>-4900</v>
      </c>
      <c r="G218" s="331">
        <v>60906.999999999993</v>
      </c>
      <c r="H218" s="302">
        <v>0</v>
      </c>
      <c r="I218" s="302">
        <v>0</v>
      </c>
      <c r="J218" s="302">
        <v>60906.999999999993</v>
      </c>
      <c r="K218" s="302">
        <v>0</v>
      </c>
      <c r="L218" s="302">
        <v>0</v>
      </c>
      <c r="M218" s="302">
        <v>60906.999999999993</v>
      </c>
      <c r="N218" s="302">
        <v>0</v>
      </c>
    </row>
    <row r="219" spans="1:14" x14ac:dyDescent="0.3">
      <c r="A219" t="s">
        <v>3395</v>
      </c>
      <c r="B219" t="s">
        <v>3400</v>
      </c>
      <c r="C219" s="302">
        <v>-20500</v>
      </c>
      <c r="D219" s="302"/>
      <c r="E219" s="302"/>
      <c r="F219" s="302">
        <v>-20500</v>
      </c>
      <c r="G219" s="331">
        <v>254814.99999999997</v>
      </c>
      <c r="H219" s="302">
        <v>0</v>
      </c>
      <c r="I219" s="302">
        <v>0</v>
      </c>
      <c r="J219" s="302">
        <v>254814.99999999997</v>
      </c>
      <c r="K219" s="302">
        <v>232848</v>
      </c>
      <c r="L219" s="302">
        <v>0</v>
      </c>
      <c r="M219" s="302">
        <v>487663</v>
      </c>
      <c r="N219" s="302">
        <v>232848</v>
      </c>
    </row>
    <row r="220" spans="1:14" x14ac:dyDescent="0.3">
      <c r="A220" s="334" t="s">
        <v>3401</v>
      </c>
      <c r="B220" s="334"/>
      <c r="C220" s="335">
        <v>-30600</v>
      </c>
      <c r="D220" s="335"/>
      <c r="E220" s="335"/>
      <c r="F220" s="335">
        <v>-30600</v>
      </c>
      <c r="G220" s="335">
        <v>380357.99999999994</v>
      </c>
      <c r="H220" s="335">
        <v>0</v>
      </c>
      <c r="I220" s="335">
        <v>0</v>
      </c>
      <c r="J220" s="336">
        <v>380357.99999999994</v>
      </c>
      <c r="K220" s="335">
        <v>468468</v>
      </c>
      <c r="L220" s="335">
        <v>0</v>
      </c>
      <c r="M220" s="335">
        <v>848826</v>
      </c>
      <c r="N220" s="335">
        <v>468468</v>
      </c>
    </row>
    <row r="221" spans="1:14" x14ac:dyDescent="0.3">
      <c r="A221" t="s">
        <v>3402</v>
      </c>
      <c r="B221" t="s">
        <v>3403</v>
      </c>
      <c r="C221" s="302"/>
      <c r="D221" s="302"/>
      <c r="E221" s="302"/>
      <c r="F221" s="302"/>
      <c r="G221" s="331"/>
      <c r="H221" s="302"/>
      <c r="I221" s="302"/>
      <c r="J221" s="302"/>
      <c r="K221" s="302">
        <v>116424</v>
      </c>
      <c r="L221" s="302">
        <v>0</v>
      </c>
      <c r="M221" s="302">
        <v>116424</v>
      </c>
      <c r="N221" s="302">
        <v>116424</v>
      </c>
    </row>
    <row r="222" spans="1:14" x14ac:dyDescent="0.3">
      <c r="A222" t="s">
        <v>3402</v>
      </c>
      <c r="B222" t="s">
        <v>3404</v>
      </c>
      <c r="C222" s="302"/>
      <c r="D222" s="302"/>
      <c r="E222" s="302"/>
      <c r="F222" s="302"/>
      <c r="G222" s="331"/>
      <c r="H222" s="302"/>
      <c r="I222" s="302"/>
      <c r="J222" s="302"/>
      <c r="K222" s="302">
        <v>116424</v>
      </c>
      <c r="L222" s="302">
        <v>0</v>
      </c>
      <c r="M222" s="302">
        <v>116424</v>
      </c>
      <c r="N222" s="302">
        <v>116424</v>
      </c>
    </row>
    <row r="223" spans="1:14" x14ac:dyDescent="0.3">
      <c r="A223" t="s">
        <v>3402</v>
      </c>
      <c r="B223" t="s">
        <v>3405</v>
      </c>
      <c r="C223" s="302">
        <v>-2500</v>
      </c>
      <c r="D223" s="302"/>
      <c r="E223" s="302"/>
      <c r="F223" s="302">
        <v>-2500</v>
      </c>
      <c r="G223" s="331">
        <v>31074.999999999996</v>
      </c>
      <c r="H223" s="302">
        <v>0</v>
      </c>
      <c r="I223" s="302">
        <v>0</v>
      </c>
      <c r="J223" s="302">
        <v>31074.999999999996</v>
      </c>
      <c r="K223" s="302">
        <v>116424</v>
      </c>
      <c r="L223" s="302">
        <v>0</v>
      </c>
      <c r="M223" s="302">
        <v>147499</v>
      </c>
      <c r="N223" s="302">
        <v>116424</v>
      </c>
    </row>
    <row r="224" spans="1:14" x14ac:dyDescent="0.3">
      <c r="A224" s="334" t="s">
        <v>3406</v>
      </c>
      <c r="B224" s="334"/>
      <c r="C224" s="335">
        <v>-2500</v>
      </c>
      <c r="D224" s="335"/>
      <c r="E224" s="335"/>
      <c r="F224" s="335">
        <v>-2500</v>
      </c>
      <c r="G224" s="335">
        <v>31074.999999999996</v>
      </c>
      <c r="H224" s="335">
        <v>0</v>
      </c>
      <c r="I224" s="335">
        <v>0</v>
      </c>
      <c r="J224" s="336">
        <v>31074.999999999996</v>
      </c>
      <c r="K224" s="335">
        <v>349272</v>
      </c>
      <c r="L224" s="335">
        <v>0</v>
      </c>
      <c r="M224" s="335">
        <v>380347</v>
      </c>
      <c r="N224" s="335">
        <v>349272</v>
      </c>
    </row>
    <row r="225" spans="1:14" x14ac:dyDescent="0.3">
      <c r="A225" t="s">
        <v>3407</v>
      </c>
      <c r="B225" t="s">
        <v>3408</v>
      </c>
      <c r="C225" s="302">
        <v>-4900</v>
      </c>
      <c r="D225" s="302"/>
      <c r="E225" s="302"/>
      <c r="F225" s="302">
        <v>-4900</v>
      </c>
      <c r="G225" s="331">
        <v>60906.999999999993</v>
      </c>
      <c r="H225" s="302">
        <v>0</v>
      </c>
      <c r="I225" s="302">
        <v>0</v>
      </c>
      <c r="J225" s="302">
        <v>60906.999999999993</v>
      </c>
      <c r="K225" s="302">
        <v>0</v>
      </c>
      <c r="L225" s="302">
        <v>0</v>
      </c>
      <c r="M225" s="302">
        <v>60906.999999999993</v>
      </c>
      <c r="N225" s="302">
        <v>0</v>
      </c>
    </row>
    <row r="226" spans="1:14" x14ac:dyDescent="0.3">
      <c r="A226" t="s">
        <v>3407</v>
      </c>
      <c r="B226" t="s">
        <v>3409</v>
      </c>
      <c r="C226" s="302">
        <v>-4900</v>
      </c>
      <c r="D226" s="302"/>
      <c r="E226" s="302"/>
      <c r="F226" s="302">
        <v>-4900</v>
      </c>
      <c r="G226" s="331">
        <v>60906.999999999993</v>
      </c>
      <c r="H226" s="302">
        <v>0</v>
      </c>
      <c r="I226" s="302">
        <v>0</v>
      </c>
      <c r="J226" s="302">
        <v>60906.999999999993</v>
      </c>
      <c r="K226" s="302">
        <v>0</v>
      </c>
      <c r="L226" s="302">
        <v>0</v>
      </c>
      <c r="M226" s="302">
        <v>60906.999999999993</v>
      </c>
      <c r="N226" s="302">
        <v>0</v>
      </c>
    </row>
    <row r="227" spans="1:14" x14ac:dyDescent="0.3">
      <c r="A227" t="s">
        <v>3407</v>
      </c>
      <c r="B227" t="s">
        <v>3410</v>
      </c>
      <c r="C227" s="302">
        <v>-4900</v>
      </c>
      <c r="D227" s="302"/>
      <c r="E227" s="302"/>
      <c r="F227" s="302">
        <v>-4900</v>
      </c>
      <c r="G227" s="331">
        <v>60906.999999999993</v>
      </c>
      <c r="H227" s="302">
        <v>0</v>
      </c>
      <c r="I227" s="302">
        <v>0</v>
      </c>
      <c r="J227" s="302">
        <v>60906.999999999993</v>
      </c>
      <c r="K227" s="302">
        <v>0</v>
      </c>
      <c r="L227" s="302">
        <v>0</v>
      </c>
      <c r="M227" s="302">
        <v>60906.999999999993</v>
      </c>
      <c r="N227" s="302">
        <v>0</v>
      </c>
    </row>
    <row r="228" spans="1:14" x14ac:dyDescent="0.3">
      <c r="A228" t="s">
        <v>3407</v>
      </c>
      <c r="B228" t="s">
        <v>3411</v>
      </c>
      <c r="C228" s="302">
        <v>-2500</v>
      </c>
      <c r="D228" s="302"/>
      <c r="E228" s="302"/>
      <c r="F228" s="302">
        <v>-2500</v>
      </c>
      <c r="G228" s="331">
        <v>31074.999999999996</v>
      </c>
      <c r="H228" s="302">
        <v>0</v>
      </c>
      <c r="I228" s="302">
        <v>0</v>
      </c>
      <c r="J228" s="302">
        <v>31074.999999999996</v>
      </c>
      <c r="K228" s="302">
        <v>0</v>
      </c>
      <c r="L228" s="302">
        <v>0</v>
      </c>
      <c r="M228" s="302">
        <v>31074.999999999996</v>
      </c>
      <c r="N228" s="302">
        <v>0</v>
      </c>
    </row>
    <row r="229" spans="1:14" x14ac:dyDescent="0.3">
      <c r="A229" t="s">
        <v>3407</v>
      </c>
      <c r="B229" t="s">
        <v>3412</v>
      </c>
      <c r="C229" s="302">
        <v>-9800</v>
      </c>
      <c r="D229" s="302"/>
      <c r="E229" s="302"/>
      <c r="F229" s="302">
        <v>-9800</v>
      </c>
      <c r="G229" s="331">
        <v>121813.99999999999</v>
      </c>
      <c r="H229" s="302">
        <v>0</v>
      </c>
      <c r="I229" s="302">
        <v>0</v>
      </c>
      <c r="J229" s="302">
        <v>121813.99999999999</v>
      </c>
      <c r="K229" s="302">
        <v>0</v>
      </c>
      <c r="L229" s="302">
        <v>0</v>
      </c>
      <c r="M229" s="302">
        <v>121813.99999999999</v>
      </c>
      <c r="N229" s="302">
        <v>0</v>
      </c>
    </row>
    <row r="230" spans="1:14" x14ac:dyDescent="0.3">
      <c r="A230" t="s">
        <v>3407</v>
      </c>
      <c r="B230" t="s">
        <v>3413</v>
      </c>
      <c r="C230" s="302">
        <v>-31300</v>
      </c>
      <c r="D230" s="302"/>
      <c r="E230" s="302"/>
      <c r="F230" s="302">
        <v>-31300</v>
      </c>
      <c r="G230" s="331">
        <v>389058.99999999994</v>
      </c>
      <c r="H230" s="302">
        <v>0</v>
      </c>
      <c r="I230" s="302">
        <v>0</v>
      </c>
      <c r="J230" s="302">
        <v>389058.99999999994</v>
      </c>
      <c r="K230" s="302">
        <v>0</v>
      </c>
      <c r="L230" s="302">
        <v>0</v>
      </c>
      <c r="M230" s="302">
        <v>389058.99999999994</v>
      </c>
      <c r="N230" s="302">
        <v>0</v>
      </c>
    </row>
    <row r="231" spans="1:14" x14ac:dyDescent="0.3">
      <c r="A231" t="s">
        <v>3407</v>
      </c>
      <c r="B231" t="s">
        <v>3414</v>
      </c>
      <c r="C231" s="302">
        <v>-2500</v>
      </c>
      <c r="D231" s="302"/>
      <c r="E231" s="302"/>
      <c r="F231" s="302">
        <v>-2500</v>
      </c>
      <c r="G231" s="331">
        <v>31074.999999999996</v>
      </c>
      <c r="H231" s="302">
        <v>0</v>
      </c>
      <c r="I231" s="302">
        <v>0</v>
      </c>
      <c r="J231" s="302">
        <v>31074.999999999996</v>
      </c>
      <c r="K231" s="302">
        <v>0</v>
      </c>
      <c r="L231" s="302">
        <v>0</v>
      </c>
      <c r="M231" s="302">
        <v>31074.999999999996</v>
      </c>
      <c r="N231" s="302">
        <v>0</v>
      </c>
    </row>
    <row r="232" spans="1:14" x14ac:dyDescent="0.3">
      <c r="A232" t="s">
        <v>3407</v>
      </c>
      <c r="B232" t="s">
        <v>3415</v>
      </c>
      <c r="C232" s="302">
        <v>-21800</v>
      </c>
      <c r="D232" s="302"/>
      <c r="E232" s="302"/>
      <c r="F232" s="302">
        <v>-21800</v>
      </c>
      <c r="G232" s="331">
        <v>270974</v>
      </c>
      <c r="H232" s="302">
        <v>0</v>
      </c>
      <c r="I232" s="302">
        <v>0</v>
      </c>
      <c r="J232" s="302">
        <v>270974</v>
      </c>
      <c r="K232" s="302">
        <v>0</v>
      </c>
      <c r="L232" s="302">
        <v>0</v>
      </c>
      <c r="M232" s="302">
        <v>270974</v>
      </c>
      <c r="N232" s="302">
        <v>0</v>
      </c>
    </row>
    <row r="233" spans="1:14" x14ac:dyDescent="0.3">
      <c r="A233" t="s">
        <v>3407</v>
      </c>
      <c r="B233" t="s">
        <v>3416</v>
      </c>
      <c r="C233" s="302">
        <v>-19100</v>
      </c>
      <c r="D233" s="302"/>
      <c r="E233" s="302"/>
      <c r="F233" s="302">
        <v>-19100</v>
      </c>
      <c r="G233" s="331">
        <v>237412.99999999997</v>
      </c>
      <c r="H233" s="302">
        <v>0</v>
      </c>
      <c r="I233" s="302">
        <v>0</v>
      </c>
      <c r="J233" s="302">
        <v>237412.99999999997</v>
      </c>
      <c r="K233" s="302">
        <v>0</v>
      </c>
      <c r="L233" s="302">
        <v>0</v>
      </c>
      <c r="M233" s="302">
        <v>237412.99999999997</v>
      </c>
      <c r="N233" s="302">
        <v>0</v>
      </c>
    </row>
    <row r="234" spans="1:14" x14ac:dyDescent="0.3">
      <c r="A234" t="s">
        <v>3407</v>
      </c>
      <c r="B234" t="s">
        <v>3417</v>
      </c>
      <c r="C234" s="302">
        <v>-2500</v>
      </c>
      <c r="D234" s="302"/>
      <c r="E234" s="302"/>
      <c r="F234" s="302">
        <v>-2500</v>
      </c>
      <c r="G234" s="331">
        <v>31074.999999999996</v>
      </c>
      <c r="H234" s="302">
        <v>0</v>
      </c>
      <c r="I234" s="302">
        <v>0</v>
      </c>
      <c r="J234" s="302">
        <v>31074.999999999996</v>
      </c>
      <c r="K234" s="302">
        <v>0</v>
      </c>
      <c r="L234" s="302">
        <v>0</v>
      </c>
      <c r="M234" s="302">
        <v>31074.999999999996</v>
      </c>
      <c r="N234" s="302">
        <v>0</v>
      </c>
    </row>
    <row r="235" spans="1:14" x14ac:dyDescent="0.3">
      <c r="A235" t="s">
        <v>3407</v>
      </c>
      <c r="B235" t="s">
        <v>3418</v>
      </c>
      <c r="C235" s="302">
        <v>-2500</v>
      </c>
      <c r="D235" s="302"/>
      <c r="E235" s="302"/>
      <c r="F235" s="302">
        <v>-2500</v>
      </c>
      <c r="G235" s="331">
        <v>31074.999999999996</v>
      </c>
      <c r="H235" s="302">
        <v>0</v>
      </c>
      <c r="I235" s="302">
        <v>0</v>
      </c>
      <c r="J235" s="302">
        <v>31074.999999999996</v>
      </c>
      <c r="K235" s="302">
        <v>0</v>
      </c>
      <c r="L235" s="302">
        <v>0</v>
      </c>
      <c r="M235" s="302">
        <v>31074.999999999996</v>
      </c>
      <c r="N235" s="302">
        <v>0</v>
      </c>
    </row>
    <row r="236" spans="1:14" x14ac:dyDescent="0.3">
      <c r="A236" t="s">
        <v>3407</v>
      </c>
      <c r="B236" t="s">
        <v>3419</v>
      </c>
      <c r="C236" s="302">
        <v>-2500</v>
      </c>
      <c r="D236" s="302"/>
      <c r="E236" s="302"/>
      <c r="F236" s="302">
        <v>-2500</v>
      </c>
      <c r="G236" s="331">
        <v>31074.999999999996</v>
      </c>
      <c r="H236" s="302">
        <v>0</v>
      </c>
      <c r="I236" s="302">
        <v>0</v>
      </c>
      <c r="J236" s="302">
        <v>31074.999999999996</v>
      </c>
      <c r="K236" s="302">
        <v>0</v>
      </c>
      <c r="L236" s="302">
        <v>0</v>
      </c>
      <c r="M236" s="302">
        <v>31074.999999999996</v>
      </c>
      <c r="N236" s="302">
        <v>0</v>
      </c>
    </row>
    <row r="237" spans="1:14" x14ac:dyDescent="0.3">
      <c r="A237" t="s">
        <v>3407</v>
      </c>
      <c r="B237" t="s">
        <v>3420</v>
      </c>
      <c r="C237" s="302">
        <v>-57400</v>
      </c>
      <c r="D237" s="302"/>
      <c r="E237" s="302"/>
      <c r="F237" s="302">
        <v>-57400</v>
      </c>
      <c r="G237" s="331">
        <v>713481.99999999988</v>
      </c>
      <c r="H237" s="302">
        <v>0</v>
      </c>
      <c r="I237" s="302">
        <v>0</v>
      </c>
      <c r="J237" s="302">
        <v>713481.99999999988</v>
      </c>
      <c r="K237" s="302">
        <v>0</v>
      </c>
      <c r="L237" s="302">
        <v>0</v>
      </c>
      <c r="M237" s="302">
        <v>713481.99999999988</v>
      </c>
      <c r="N237" s="302">
        <v>0</v>
      </c>
    </row>
    <row r="238" spans="1:14" x14ac:dyDescent="0.3">
      <c r="A238" t="s">
        <v>3407</v>
      </c>
      <c r="B238" t="s">
        <v>3421</v>
      </c>
      <c r="C238" s="302">
        <v>-2500</v>
      </c>
      <c r="D238" s="302"/>
      <c r="E238" s="302"/>
      <c r="F238" s="302">
        <v>-2500</v>
      </c>
      <c r="G238" s="331">
        <v>31074.999999999996</v>
      </c>
      <c r="H238" s="302">
        <v>0</v>
      </c>
      <c r="I238" s="302">
        <v>0</v>
      </c>
      <c r="J238" s="302">
        <v>31074.999999999996</v>
      </c>
      <c r="K238" s="302">
        <v>0</v>
      </c>
      <c r="L238" s="302">
        <v>0</v>
      </c>
      <c r="M238" s="302">
        <v>31074.999999999996</v>
      </c>
      <c r="N238" s="302">
        <v>0</v>
      </c>
    </row>
    <row r="239" spans="1:14" x14ac:dyDescent="0.3">
      <c r="A239" t="s">
        <v>3407</v>
      </c>
      <c r="B239" t="s">
        <v>3422</v>
      </c>
      <c r="C239" s="302">
        <v>-2500</v>
      </c>
      <c r="D239" s="302"/>
      <c r="E239" s="302"/>
      <c r="F239" s="302">
        <v>-2500</v>
      </c>
      <c r="G239" s="331">
        <v>31074.999999999996</v>
      </c>
      <c r="H239" s="302">
        <v>0</v>
      </c>
      <c r="I239" s="302">
        <v>0</v>
      </c>
      <c r="J239" s="302">
        <v>31074.999999999996</v>
      </c>
      <c r="K239" s="302">
        <v>0</v>
      </c>
      <c r="L239" s="302">
        <v>0</v>
      </c>
      <c r="M239" s="302">
        <v>31074.999999999996</v>
      </c>
      <c r="N239" s="302">
        <v>0</v>
      </c>
    </row>
    <row r="240" spans="1:14" x14ac:dyDescent="0.3">
      <c r="A240" s="334" t="s">
        <v>3423</v>
      </c>
      <c r="B240" s="334"/>
      <c r="C240" s="335">
        <v>-171600</v>
      </c>
      <c r="D240" s="335"/>
      <c r="E240" s="335"/>
      <c r="F240" s="335">
        <v>-171600</v>
      </c>
      <c r="G240" s="335">
        <v>2132988</v>
      </c>
      <c r="H240" s="335">
        <v>0</v>
      </c>
      <c r="I240" s="335">
        <v>0</v>
      </c>
      <c r="J240" s="336">
        <v>2132988</v>
      </c>
      <c r="K240" s="335">
        <v>0</v>
      </c>
      <c r="L240" s="335">
        <v>0</v>
      </c>
      <c r="M240" s="335">
        <v>2132988</v>
      </c>
      <c r="N240" s="335">
        <v>0</v>
      </c>
    </row>
    <row r="241" spans="1:14" x14ac:dyDescent="0.3">
      <c r="A241" t="s">
        <v>1067</v>
      </c>
      <c r="B241" t="s">
        <v>1068</v>
      </c>
      <c r="C241" s="302">
        <v>-21600</v>
      </c>
      <c r="D241" s="302"/>
      <c r="E241" s="302"/>
      <c r="F241" s="302">
        <v>-21600</v>
      </c>
      <c r="G241" s="331">
        <v>268488</v>
      </c>
      <c r="H241" s="302">
        <v>0</v>
      </c>
      <c r="I241" s="302">
        <v>0</v>
      </c>
      <c r="J241" s="302">
        <v>268488</v>
      </c>
      <c r="K241" s="302">
        <v>36036</v>
      </c>
      <c r="L241" s="302">
        <v>500659.15434276842</v>
      </c>
      <c r="M241" s="302">
        <v>805183.15434276848</v>
      </c>
      <c r="N241" s="302">
        <v>536695.15434276848</v>
      </c>
    </row>
    <row r="242" spans="1:14" x14ac:dyDescent="0.3">
      <c r="A242" s="334" t="s">
        <v>1069</v>
      </c>
      <c r="B242" s="334"/>
      <c r="C242" s="335">
        <v>-21600</v>
      </c>
      <c r="D242" s="335"/>
      <c r="E242" s="335"/>
      <c r="F242" s="335">
        <v>-21600</v>
      </c>
      <c r="G242" s="335">
        <v>268488</v>
      </c>
      <c r="H242" s="335">
        <v>0</v>
      </c>
      <c r="I242" s="335">
        <v>0</v>
      </c>
      <c r="J242" s="336">
        <v>268488</v>
      </c>
      <c r="K242" s="335">
        <v>36036</v>
      </c>
      <c r="L242" s="335">
        <v>500659.15434276842</v>
      </c>
      <c r="M242" s="335">
        <v>805183.15434276848</v>
      </c>
      <c r="N242" s="335">
        <v>536695.15434276848</v>
      </c>
    </row>
    <row r="243" spans="1:14" x14ac:dyDescent="0.3">
      <c r="A243" t="s">
        <v>3424</v>
      </c>
      <c r="B243" t="s">
        <v>841</v>
      </c>
      <c r="C243" s="302">
        <v>-15000</v>
      </c>
      <c r="D243" s="302"/>
      <c r="E243" s="302"/>
      <c r="F243" s="302">
        <v>-15000</v>
      </c>
      <c r="G243" s="331">
        <v>186449.99999999997</v>
      </c>
      <c r="H243" s="302">
        <v>0</v>
      </c>
      <c r="I243" s="302">
        <v>0</v>
      </c>
      <c r="J243" s="302">
        <v>186449.99999999997</v>
      </c>
      <c r="K243" s="302">
        <v>116424</v>
      </c>
      <c r="L243" s="302">
        <v>0</v>
      </c>
      <c r="M243" s="302">
        <v>302874</v>
      </c>
      <c r="N243" s="302">
        <v>116424</v>
      </c>
    </row>
    <row r="244" spans="1:14" x14ac:dyDescent="0.3">
      <c r="A244" s="334" t="s">
        <v>3425</v>
      </c>
      <c r="B244" s="334"/>
      <c r="C244" s="335">
        <v>-15000</v>
      </c>
      <c r="D244" s="335"/>
      <c r="E244" s="335"/>
      <c r="F244" s="335">
        <v>-15000</v>
      </c>
      <c r="G244" s="335">
        <v>186449.99999999997</v>
      </c>
      <c r="H244" s="335">
        <v>0</v>
      </c>
      <c r="I244" s="335">
        <v>0</v>
      </c>
      <c r="J244" s="336">
        <v>186449.99999999997</v>
      </c>
      <c r="K244" s="335">
        <v>116424</v>
      </c>
      <c r="L244" s="335">
        <v>0</v>
      </c>
      <c r="M244" s="335">
        <v>302874</v>
      </c>
      <c r="N244" s="335">
        <v>116424</v>
      </c>
    </row>
    <row r="245" spans="1:14" x14ac:dyDescent="0.3">
      <c r="A245" t="s">
        <v>1070</v>
      </c>
      <c r="B245" t="s">
        <v>1071</v>
      </c>
      <c r="C245" s="302">
        <v>-19500</v>
      </c>
      <c r="D245" s="302"/>
      <c r="E245" s="302"/>
      <c r="F245" s="302">
        <v>-19500</v>
      </c>
      <c r="G245" s="331">
        <v>242384.99999999997</v>
      </c>
      <c r="H245" s="302">
        <v>0</v>
      </c>
      <c r="I245" s="302">
        <v>0</v>
      </c>
      <c r="J245" s="302">
        <v>242384.99999999997</v>
      </c>
      <c r="K245" s="302">
        <v>44352</v>
      </c>
      <c r="L245" s="302">
        <v>308097.94113401143</v>
      </c>
      <c r="M245" s="302">
        <v>594834.94113401137</v>
      </c>
      <c r="N245" s="302">
        <v>352449.94113401143</v>
      </c>
    </row>
    <row r="246" spans="1:14" x14ac:dyDescent="0.3">
      <c r="A246" t="s">
        <v>1070</v>
      </c>
      <c r="B246" t="s">
        <v>1074</v>
      </c>
      <c r="C246" s="302">
        <v>-16200</v>
      </c>
      <c r="D246" s="302"/>
      <c r="E246" s="302"/>
      <c r="F246" s="302">
        <v>-16200</v>
      </c>
      <c r="G246" s="331">
        <v>201365.99999999997</v>
      </c>
      <c r="H246" s="302">
        <v>0</v>
      </c>
      <c r="I246" s="302">
        <v>0</v>
      </c>
      <c r="J246" s="302">
        <v>201365.99999999997</v>
      </c>
      <c r="K246" s="302">
        <v>232848</v>
      </c>
      <c r="L246" s="302">
        <v>620475.02033932845</v>
      </c>
      <c r="M246" s="302">
        <v>1054689.0203393283</v>
      </c>
      <c r="N246" s="302">
        <v>853323.02033932845</v>
      </c>
    </row>
    <row r="247" spans="1:14" x14ac:dyDescent="0.3">
      <c r="A247" t="s">
        <v>1070</v>
      </c>
      <c r="B247" t="s">
        <v>1075</v>
      </c>
      <c r="C247" s="302"/>
      <c r="D247" s="302"/>
      <c r="E247" s="302"/>
      <c r="F247" s="302"/>
      <c r="G247" s="331"/>
      <c r="H247" s="302"/>
      <c r="I247" s="302"/>
      <c r="J247" s="302"/>
      <c r="K247" s="302"/>
      <c r="L247" s="302">
        <v>620475.02033932845</v>
      </c>
      <c r="M247" s="302">
        <v>620475.02033932845</v>
      </c>
      <c r="N247" s="302">
        <v>620475.02033932845</v>
      </c>
    </row>
    <row r="248" spans="1:14" x14ac:dyDescent="0.3">
      <c r="A248" s="334" t="s">
        <v>1076</v>
      </c>
      <c r="B248" s="334"/>
      <c r="C248" s="335">
        <v>-35700</v>
      </c>
      <c r="D248" s="335"/>
      <c r="E248" s="335"/>
      <c r="F248" s="335">
        <v>-35700</v>
      </c>
      <c r="G248" s="335">
        <v>443750.99999999994</v>
      </c>
      <c r="H248" s="335">
        <v>0</v>
      </c>
      <c r="I248" s="335">
        <v>0</v>
      </c>
      <c r="J248" s="336">
        <v>443750.99999999994</v>
      </c>
      <c r="K248" s="335">
        <v>277200</v>
      </c>
      <c r="L248" s="335">
        <v>1549047.9818126683</v>
      </c>
      <c r="M248" s="335">
        <v>2269998.981812668</v>
      </c>
      <c r="N248" s="335">
        <v>1826247.9818126683</v>
      </c>
    </row>
    <row r="249" spans="1:14" x14ac:dyDescent="0.3">
      <c r="A249" t="s">
        <v>1077</v>
      </c>
      <c r="B249" t="s">
        <v>863</v>
      </c>
      <c r="C249" s="302"/>
      <c r="D249" s="302"/>
      <c r="E249" s="302"/>
      <c r="F249" s="302"/>
      <c r="G249" s="331"/>
      <c r="H249" s="302"/>
      <c r="I249" s="302"/>
      <c r="J249" s="302"/>
      <c r="K249" s="302">
        <v>329175</v>
      </c>
      <c r="L249" s="302">
        <v>9649456</v>
      </c>
      <c r="M249" s="302">
        <v>9978631</v>
      </c>
      <c r="N249" s="302">
        <v>9978631</v>
      </c>
    </row>
    <row r="250" spans="1:14" x14ac:dyDescent="0.3">
      <c r="A250" s="334" t="s">
        <v>1080</v>
      </c>
      <c r="B250" s="334"/>
      <c r="C250" s="335"/>
      <c r="D250" s="335"/>
      <c r="E250" s="335"/>
      <c r="F250" s="335"/>
      <c r="G250" s="335"/>
      <c r="H250" s="335"/>
      <c r="I250" s="335"/>
      <c r="J250" s="336"/>
      <c r="K250" s="335">
        <v>329175</v>
      </c>
      <c r="L250" s="335">
        <v>9649456.3507943843</v>
      </c>
      <c r="M250" s="335">
        <v>9978631.3507943843</v>
      </c>
      <c r="N250" s="335">
        <v>9978631.3507943843</v>
      </c>
    </row>
    <row r="251" spans="1:14" x14ac:dyDescent="0.3">
      <c r="A251" t="s">
        <v>1081</v>
      </c>
      <c r="B251" t="s">
        <v>855</v>
      </c>
      <c r="C251" s="302">
        <v>-1700</v>
      </c>
      <c r="D251" s="302"/>
      <c r="E251" s="302"/>
      <c r="F251" s="302">
        <v>-1700</v>
      </c>
      <c r="G251" s="331">
        <v>21130.999999999996</v>
      </c>
      <c r="H251" s="302">
        <v>0</v>
      </c>
      <c r="I251" s="302">
        <v>0</v>
      </c>
      <c r="J251" s="302">
        <v>21130.999999999996</v>
      </c>
      <c r="K251" s="302">
        <v>34650</v>
      </c>
      <c r="L251" s="302">
        <v>1684446.591245716</v>
      </c>
      <c r="M251" s="302">
        <v>1740227.591245716</v>
      </c>
      <c r="N251" s="302">
        <v>1719096.591245716</v>
      </c>
    </row>
    <row r="252" spans="1:14" x14ac:dyDescent="0.3">
      <c r="A252" s="334" t="s">
        <v>1083</v>
      </c>
      <c r="B252" s="334"/>
      <c r="C252" s="335">
        <v>-1700</v>
      </c>
      <c r="D252" s="335"/>
      <c r="E252" s="335"/>
      <c r="F252" s="335">
        <v>-1700</v>
      </c>
      <c r="G252" s="335">
        <v>21130.999999999996</v>
      </c>
      <c r="H252" s="335">
        <v>0</v>
      </c>
      <c r="I252" s="335">
        <v>0</v>
      </c>
      <c r="J252" s="336">
        <v>21130.999999999996</v>
      </c>
      <c r="K252" s="335">
        <v>34650</v>
      </c>
      <c r="L252" s="335">
        <v>1684446.591245716</v>
      </c>
      <c r="M252" s="335">
        <v>1740227.591245716</v>
      </c>
      <c r="N252" s="335">
        <v>1719096.591245716</v>
      </c>
    </row>
    <row r="253" spans="1:14" x14ac:dyDescent="0.3">
      <c r="A253" t="s">
        <v>3426</v>
      </c>
      <c r="B253" t="s">
        <v>2886</v>
      </c>
      <c r="C253" s="302">
        <v>-22500</v>
      </c>
      <c r="D253" s="302"/>
      <c r="E253" s="302"/>
      <c r="F253" s="302">
        <v>-22500</v>
      </c>
      <c r="G253" s="331">
        <v>279675</v>
      </c>
      <c r="H253" s="302">
        <v>0</v>
      </c>
      <c r="I253" s="302">
        <v>0</v>
      </c>
      <c r="J253" s="302">
        <v>279675</v>
      </c>
      <c r="K253" s="302">
        <v>0</v>
      </c>
      <c r="L253" s="302">
        <v>0</v>
      </c>
      <c r="M253" s="302">
        <v>279675</v>
      </c>
      <c r="N253" s="302">
        <v>0</v>
      </c>
    </row>
    <row r="254" spans="1:14" x14ac:dyDescent="0.3">
      <c r="A254" t="s">
        <v>3426</v>
      </c>
      <c r="B254" t="s">
        <v>2889</v>
      </c>
      <c r="C254" s="302">
        <v>-10000</v>
      </c>
      <c r="D254" s="302"/>
      <c r="E254" s="302"/>
      <c r="F254" s="302">
        <v>-10000</v>
      </c>
      <c r="G254" s="331">
        <v>124299.99999999999</v>
      </c>
      <c r="H254" s="302">
        <v>0</v>
      </c>
      <c r="I254" s="302">
        <v>0</v>
      </c>
      <c r="J254" s="302">
        <v>124299.99999999999</v>
      </c>
      <c r="K254" s="302">
        <v>0</v>
      </c>
      <c r="L254" s="302">
        <v>0</v>
      </c>
      <c r="M254" s="302">
        <v>124299.99999999999</v>
      </c>
      <c r="N254" s="302">
        <v>0</v>
      </c>
    </row>
    <row r="255" spans="1:14" x14ac:dyDescent="0.3">
      <c r="A255" s="334" t="s">
        <v>3427</v>
      </c>
      <c r="B255" s="334"/>
      <c r="C255" s="335">
        <v>-32500</v>
      </c>
      <c r="D255" s="335"/>
      <c r="E255" s="335"/>
      <c r="F255" s="335">
        <v>-32500</v>
      </c>
      <c r="G255" s="335">
        <v>403974.99999999994</v>
      </c>
      <c r="H255" s="335">
        <v>0</v>
      </c>
      <c r="I255" s="335">
        <v>0</v>
      </c>
      <c r="J255" s="336">
        <v>403974.99999999994</v>
      </c>
      <c r="K255" s="335">
        <v>0</v>
      </c>
      <c r="L255" s="335">
        <v>0</v>
      </c>
      <c r="M255" s="335">
        <v>403974.99999999994</v>
      </c>
      <c r="N255" s="335">
        <v>0</v>
      </c>
    </row>
    <row r="256" spans="1:14" x14ac:dyDescent="0.3">
      <c r="A256" t="s">
        <v>3428</v>
      </c>
      <c r="B256" t="s">
        <v>3429</v>
      </c>
      <c r="C256" s="302"/>
      <c r="D256" s="302"/>
      <c r="E256" s="302"/>
      <c r="F256" s="302"/>
      <c r="G256" s="331"/>
      <c r="H256" s="302"/>
      <c r="I256" s="302"/>
      <c r="J256" s="302"/>
      <c r="K256" s="302">
        <v>205128</v>
      </c>
      <c r="L256" s="302">
        <v>0</v>
      </c>
      <c r="M256" s="302">
        <v>205128</v>
      </c>
      <c r="N256" s="302">
        <v>205128</v>
      </c>
    </row>
    <row r="257" spans="1:14" x14ac:dyDescent="0.3">
      <c r="A257" t="s">
        <v>3428</v>
      </c>
      <c r="B257" t="s">
        <v>3430</v>
      </c>
      <c r="C257" s="302">
        <v>-2500</v>
      </c>
      <c r="D257" s="302"/>
      <c r="E257" s="302"/>
      <c r="F257" s="302">
        <v>-2500</v>
      </c>
      <c r="G257" s="331">
        <v>31074.999999999996</v>
      </c>
      <c r="H257" s="302">
        <v>0</v>
      </c>
      <c r="I257" s="302">
        <v>0</v>
      </c>
      <c r="J257" s="302">
        <v>31074.999999999996</v>
      </c>
      <c r="K257" s="302">
        <v>0</v>
      </c>
      <c r="L257" s="302">
        <v>0</v>
      </c>
      <c r="M257" s="302">
        <v>31074.999999999996</v>
      </c>
      <c r="N257" s="302">
        <v>0</v>
      </c>
    </row>
    <row r="258" spans="1:14" x14ac:dyDescent="0.3">
      <c r="A258" s="334" t="s">
        <v>3431</v>
      </c>
      <c r="B258" s="334"/>
      <c r="C258" s="335">
        <v>-2500</v>
      </c>
      <c r="D258" s="335"/>
      <c r="E258" s="335"/>
      <c r="F258" s="335">
        <v>-2500</v>
      </c>
      <c r="G258" s="335">
        <v>31074.999999999996</v>
      </c>
      <c r="H258" s="335">
        <v>0</v>
      </c>
      <c r="I258" s="335">
        <v>0</v>
      </c>
      <c r="J258" s="336">
        <v>31074.999999999996</v>
      </c>
      <c r="K258" s="335">
        <v>205128</v>
      </c>
      <c r="L258" s="335">
        <v>0</v>
      </c>
      <c r="M258" s="335">
        <v>236203</v>
      </c>
      <c r="N258" s="335">
        <v>205128</v>
      </c>
    </row>
    <row r="259" spans="1:14" x14ac:dyDescent="0.3">
      <c r="A259" t="s">
        <v>1084</v>
      </c>
      <c r="B259" t="s">
        <v>3432</v>
      </c>
      <c r="C259" s="302">
        <v>-4100</v>
      </c>
      <c r="D259" s="302"/>
      <c r="E259" s="302"/>
      <c r="F259" s="302">
        <v>-4100</v>
      </c>
      <c r="G259" s="331">
        <v>50962.999999999993</v>
      </c>
      <c r="H259" s="302">
        <v>0</v>
      </c>
      <c r="I259" s="302">
        <v>0</v>
      </c>
      <c r="J259" s="302">
        <v>50962.999999999993</v>
      </c>
      <c r="K259" s="302">
        <v>58212</v>
      </c>
      <c r="L259" s="302">
        <v>0</v>
      </c>
      <c r="M259" s="302">
        <v>109175</v>
      </c>
      <c r="N259" s="302">
        <v>58212</v>
      </c>
    </row>
    <row r="260" spans="1:14" x14ac:dyDescent="0.3">
      <c r="A260" t="s">
        <v>1084</v>
      </c>
      <c r="B260" t="s">
        <v>1025</v>
      </c>
      <c r="C260" s="302">
        <v>-11300</v>
      </c>
      <c r="D260" s="302"/>
      <c r="E260" s="302"/>
      <c r="F260" s="302">
        <v>-11300</v>
      </c>
      <c r="G260" s="331">
        <v>140459</v>
      </c>
      <c r="H260" s="302">
        <v>0</v>
      </c>
      <c r="I260" s="302">
        <v>0</v>
      </c>
      <c r="J260" s="302">
        <v>140459</v>
      </c>
      <c r="K260" s="302">
        <v>164934</v>
      </c>
      <c r="L260" s="302">
        <v>0</v>
      </c>
      <c r="M260" s="302">
        <v>305393</v>
      </c>
      <c r="N260" s="302">
        <v>164934</v>
      </c>
    </row>
    <row r="261" spans="1:14" x14ac:dyDescent="0.3">
      <c r="A261" t="s">
        <v>1084</v>
      </c>
      <c r="B261" t="s">
        <v>1085</v>
      </c>
      <c r="C261" s="302"/>
      <c r="D261" s="302"/>
      <c r="E261" s="302"/>
      <c r="F261" s="302"/>
      <c r="G261" s="331"/>
      <c r="H261" s="302"/>
      <c r="I261" s="302"/>
      <c r="J261" s="302"/>
      <c r="K261" s="302"/>
      <c r="L261" s="302">
        <v>1142529.8650386254</v>
      </c>
      <c r="M261" s="302">
        <v>1142529.8650386254</v>
      </c>
      <c r="N261" s="302">
        <v>1142529.8650386254</v>
      </c>
    </row>
    <row r="262" spans="1:14" x14ac:dyDescent="0.3">
      <c r="A262" t="s">
        <v>1084</v>
      </c>
      <c r="B262" t="s">
        <v>1026</v>
      </c>
      <c r="C262" s="302"/>
      <c r="D262" s="302"/>
      <c r="E262" s="302"/>
      <c r="F262" s="302"/>
      <c r="G262" s="331"/>
      <c r="H262" s="302"/>
      <c r="I262" s="302"/>
      <c r="J262" s="302"/>
      <c r="K262" s="302"/>
      <c r="L262" s="302">
        <v>4766959.8114345651</v>
      </c>
      <c r="M262" s="302">
        <v>4766959.8114345651</v>
      </c>
      <c r="N262" s="302">
        <v>4766959.8114345651</v>
      </c>
    </row>
    <row r="263" spans="1:14" x14ac:dyDescent="0.3">
      <c r="A263" t="s">
        <v>1084</v>
      </c>
      <c r="B263" t="s">
        <v>3336</v>
      </c>
      <c r="C263" s="302"/>
      <c r="D263" s="302"/>
      <c r="E263" s="302"/>
      <c r="F263" s="302"/>
      <c r="G263" s="331"/>
      <c r="H263" s="302"/>
      <c r="I263" s="302"/>
      <c r="J263" s="302"/>
      <c r="K263" s="302"/>
      <c r="L263" s="302">
        <v>4789176</v>
      </c>
      <c r="M263" s="302">
        <v>4789176</v>
      </c>
      <c r="N263" s="302">
        <v>4789176</v>
      </c>
    </row>
    <row r="264" spans="1:14" x14ac:dyDescent="0.3">
      <c r="A264" s="334" t="s">
        <v>1087</v>
      </c>
      <c r="B264" s="334"/>
      <c r="C264" s="335">
        <v>-15400</v>
      </c>
      <c r="D264" s="335"/>
      <c r="E264" s="335"/>
      <c r="F264" s="335">
        <v>-15400</v>
      </c>
      <c r="G264" s="335">
        <v>191421.99999999997</v>
      </c>
      <c r="H264" s="335">
        <v>0</v>
      </c>
      <c r="I264" s="335">
        <v>0</v>
      </c>
      <c r="J264" s="336">
        <v>191421.99999999997</v>
      </c>
      <c r="K264" s="335">
        <v>223146</v>
      </c>
      <c r="L264" s="335">
        <v>10698665.676473191</v>
      </c>
      <c r="M264" s="335">
        <v>11113233.676473191</v>
      </c>
      <c r="N264" s="335">
        <v>10921811.676473191</v>
      </c>
    </row>
    <row r="265" spans="1:14" x14ac:dyDescent="0.3">
      <c r="B265" t="s">
        <v>3433</v>
      </c>
      <c r="C265" s="302"/>
      <c r="D265" s="302"/>
      <c r="E265" s="302"/>
      <c r="F265" s="302"/>
      <c r="G265" s="331"/>
      <c r="H265" s="302"/>
      <c r="I265" s="302"/>
      <c r="J265" s="302"/>
      <c r="K265" s="302">
        <v>8040171</v>
      </c>
      <c r="L265" s="302"/>
      <c r="M265" s="302"/>
      <c r="N265" s="302">
        <v>8040171</v>
      </c>
    </row>
    <row r="266" spans="1:14" x14ac:dyDescent="0.3">
      <c r="A266" s="334" t="s">
        <v>745</v>
      </c>
      <c r="B266" s="334"/>
      <c r="C266" s="335">
        <v>-5577173.7809013445</v>
      </c>
      <c r="D266" s="335">
        <v>-16700</v>
      </c>
      <c r="E266" s="335">
        <v>-635808.04597701156</v>
      </c>
      <c r="F266" s="335">
        <v>-6229681.8268783558</v>
      </c>
      <c r="G266" s="335">
        <v>69324270.096603706</v>
      </c>
      <c r="H266" s="335">
        <v>207580.99999999997</v>
      </c>
      <c r="I266" s="335">
        <v>7903094.0114942528</v>
      </c>
      <c r="J266" s="336">
        <v>77434945.108097956</v>
      </c>
      <c r="K266" s="335">
        <v>18799999.655172415</v>
      </c>
      <c r="L266" s="335">
        <v>214002000</v>
      </c>
      <c r="M266" s="335">
        <v>310236944.76327038</v>
      </c>
      <c r="N266" s="335">
        <v>232801999.65517241</v>
      </c>
    </row>
    <row r="267" spans="1:14" x14ac:dyDescent="0.3">
      <c r="G267" s="15"/>
    </row>
    <row r="268" spans="1:14" ht="18" x14ac:dyDescent="0.35">
      <c r="A268" s="341" t="s">
        <v>3434</v>
      </c>
      <c r="B268" s="341"/>
      <c r="C268" s="341"/>
      <c r="D268" s="341"/>
      <c r="G268" s="15"/>
    </row>
    <row r="269" spans="1:14" x14ac:dyDescent="0.3">
      <c r="G269" s="15"/>
    </row>
    <row r="270" spans="1:14" x14ac:dyDescent="0.3">
      <c r="G270" s="15"/>
    </row>
    <row r="271" spans="1:14" x14ac:dyDescent="0.3">
      <c r="G271" s="15"/>
    </row>
    <row r="272" spans="1:14" x14ac:dyDescent="0.3">
      <c r="G272" s="15"/>
    </row>
    <row r="273" spans="7:7" x14ac:dyDescent="0.3">
      <c r="G273" s="15"/>
    </row>
    <row r="274" spans="7:7" x14ac:dyDescent="0.3">
      <c r="G274" s="15"/>
    </row>
    <row r="275" spans="7:7" x14ac:dyDescent="0.3">
      <c r="G275" s="15"/>
    </row>
    <row r="276" spans="7:7" x14ac:dyDescent="0.3">
      <c r="G276" s="15"/>
    </row>
    <row r="277" spans="7:7" x14ac:dyDescent="0.3">
      <c r="G277" s="15"/>
    </row>
    <row r="278" spans="7:7" x14ac:dyDescent="0.3">
      <c r="G278" s="15"/>
    </row>
    <row r="279" spans="7:7" x14ac:dyDescent="0.3">
      <c r="G279" s="15"/>
    </row>
    <row r="280" spans="7:7" x14ac:dyDescent="0.3">
      <c r="G280" s="15"/>
    </row>
    <row r="281" spans="7:7" x14ac:dyDescent="0.3">
      <c r="G281" s="15"/>
    </row>
    <row r="282" spans="7:7" x14ac:dyDescent="0.3">
      <c r="G282" s="15"/>
    </row>
    <row r="283" spans="7:7" x14ac:dyDescent="0.3">
      <c r="G283" s="15"/>
    </row>
    <row r="284" spans="7:7" x14ac:dyDescent="0.3">
      <c r="G284" s="15"/>
    </row>
    <row r="285" spans="7:7" x14ac:dyDescent="0.3">
      <c r="G285" s="15"/>
    </row>
    <row r="286" spans="7:7" x14ac:dyDescent="0.3">
      <c r="G286" s="15"/>
    </row>
    <row r="287" spans="7:7" x14ac:dyDescent="0.3">
      <c r="G287" s="15"/>
    </row>
    <row r="288" spans="7:7" x14ac:dyDescent="0.3">
      <c r="G288" s="15"/>
    </row>
    <row r="289" spans="7:7" x14ac:dyDescent="0.3">
      <c r="G289" s="15"/>
    </row>
    <row r="290" spans="7:7" x14ac:dyDescent="0.3">
      <c r="G290" s="15"/>
    </row>
    <row r="291" spans="7:7" x14ac:dyDescent="0.3">
      <c r="G291" s="15"/>
    </row>
    <row r="292" spans="7:7" x14ac:dyDescent="0.3">
      <c r="G292" s="15"/>
    </row>
    <row r="293" spans="7:7" x14ac:dyDescent="0.3">
      <c r="G293" s="15"/>
    </row>
    <row r="294" spans="7:7" x14ac:dyDescent="0.3">
      <c r="G294" s="15"/>
    </row>
    <row r="295" spans="7:7" x14ac:dyDescent="0.3">
      <c r="G295" s="15"/>
    </row>
    <row r="296" spans="7:7" x14ac:dyDescent="0.3">
      <c r="G296" s="15"/>
    </row>
    <row r="297" spans="7:7" x14ac:dyDescent="0.3">
      <c r="G297" s="15"/>
    </row>
    <row r="298" spans="7:7" x14ac:dyDescent="0.3">
      <c r="G298" s="15"/>
    </row>
    <row r="299" spans="7:7" x14ac:dyDescent="0.3">
      <c r="G299" s="15"/>
    </row>
    <row r="300" spans="7:7" x14ac:dyDescent="0.3">
      <c r="G300" s="15"/>
    </row>
    <row r="301" spans="7:7" x14ac:dyDescent="0.3">
      <c r="G301" s="15"/>
    </row>
    <row r="302" spans="7:7" x14ac:dyDescent="0.3">
      <c r="G302" s="15"/>
    </row>
    <row r="303" spans="7:7" x14ac:dyDescent="0.3">
      <c r="G303" s="15"/>
    </row>
    <row r="304" spans="7:7" x14ac:dyDescent="0.3">
      <c r="G304" s="15"/>
    </row>
    <row r="305" spans="7:7" x14ac:dyDescent="0.3">
      <c r="G305" s="15"/>
    </row>
    <row r="306" spans="7:7" x14ac:dyDescent="0.3">
      <c r="G306" s="15"/>
    </row>
    <row r="307" spans="7:7" x14ac:dyDescent="0.3">
      <c r="G307" s="15"/>
    </row>
    <row r="308" spans="7:7" x14ac:dyDescent="0.3">
      <c r="G308" s="15"/>
    </row>
    <row r="309" spans="7:7" x14ac:dyDescent="0.3">
      <c r="G309" s="15"/>
    </row>
    <row r="310" spans="7:7" x14ac:dyDescent="0.3">
      <c r="G310" s="15"/>
    </row>
    <row r="311" spans="7:7" x14ac:dyDescent="0.3">
      <c r="G311" s="15"/>
    </row>
    <row r="312" spans="7:7" x14ac:dyDescent="0.3">
      <c r="G312" s="15"/>
    </row>
    <row r="313" spans="7:7" x14ac:dyDescent="0.3">
      <c r="G313" s="15"/>
    </row>
    <row r="314" spans="7:7" x14ac:dyDescent="0.3">
      <c r="G314" s="15"/>
    </row>
    <row r="315" spans="7:7" x14ac:dyDescent="0.3">
      <c r="G315" s="15"/>
    </row>
    <row r="316" spans="7:7" x14ac:dyDescent="0.3">
      <c r="G316" s="15"/>
    </row>
    <row r="317" spans="7:7" x14ac:dyDescent="0.3">
      <c r="G317" s="15"/>
    </row>
    <row r="318" spans="7:7" x14ac:dyDescent="0.3">
      <c r="G318" s="15"/>
    </row>
    <row r="319" spans="7:7" x14ac:dyDescent="0.3">
      <c r="G319" s="15"/>
    </row>
    <row r="320" spans="7:7" x14ac:dyDescent="0.3">
      <c r="G320" s="15"/>
    </row>
    <row r="321" spans="7:7" x14ac:dyDescent="0.3">
      <c r="G321" s="15"/>
    </row>
    <row r="322" spans="7:7" x14ac:dyDescent="0.3">
      <c r="G322" s="15"/>
    </row>
    <row r="323" spans="7:7" x14ac:dyDescent="0.3">
      <c r="G323" s="15"/>
    </row>
    <row r="324" spans="7:7" x14ac:dyDescent="0.3">
      <c r="G324" s="15"/>
    </row>
    <row r="325" spans="7:7" x14ac:dyDescent="0.3">
      <c r="G325" s="15"/>
    </row>
    <row r="326" spans="7:7" x14ac:dyDescent="0.3">
      <c r="G326" s="15"/>
    </row>
    <row r="327" spans="7:7" x14ac:dyDescent="0.3">
      <c r="G327" s="15"/>
    </row>
    <row r="328" spans="7:7" x14ac:dyDescent="0.3">
      <c r="G328" s="15"/>
    </row>
    <row r="329" spans="7:7" x14ac:dyDescent="0.3">
      <c r="G329" s="15"/>
    </row>
    <row r="330" spans="7:7" x14ac:dyDescent="0.3">
      <c r="G330" s="15"/>
    </row>
    <row r="331" spans="7:7" x14ac:dyDescent="0.3">
      <c r="G331" s="15"/>
    </row>
    <row r="332" spans="7:7" x14ac:dyDescent="0.3">
      <c r="G332" s="15"/>
    </row>
    <row r="333" spans="7:7" x14ac:dyDescent="0.3">
      <c r="G333" s="15"/>
    </row>
    <row r="334" spans="7:7" x14ac:dyDescent="0.3">
      <c r="G334" s="15"/>
    </row>
    <row r="335" spans="7:7" x14ac:dyDescent="0.3">
      <c r="G335" s="15"/>
    </row>
    <row r="336" spans="7:7" x14ac:dyDescent="0.3">
      <c r="G336" s="15"/>
    </row>
    <row r="337" spans="7:7" x14ac:dyDescent="0.3">
      <c r="G337" s="15"/>
    </row>
    <row r="338" spans="7:7" x14ac:dyDescent="0.3">
      <c r="G338" s="15"/>
    </row>
    <row r="339" spans="7:7" x14ac:dyDescent="0.3">
      <c r="G339" s="15"/>
    </row>
    <row r="340" spans="7:7" x14ac:dyDescent="0.3">
      <c r="G340" s="15"/>
    </row>
    <row r="341" spans="7:7" x14ac:dyDescent="0.3">
      <c r="G341" s="15"/>
    </row>
    <row r="342" spans="7:7" x14ac:dyDescent="0.3">
      <c r="G342" s="15"/>
    </row>
    <row r="343" spans="7:7" x14ac:dyDescent="0.3">
      <c r="G343" s="15"/>
    </row>
    <row r="344" spans="7:7" x14ac:dyDescent="0.3">
      <c r="G344" s="15"/>
    </row>
    <row r="345" spans="7:7" x14ac:dyDescent="0.3">
      <c r="G345" s="15"/>
    </row>
    <row r="346" spans="7:7" x14ac:dyDescent="0.3">
      <c r="G346" s="15"/>
    </row>
    <row r="347" spans="7:7" x14ac:dyDescent="0.3">
      <c r="G347" s="15"/>
    </row>
    <row r="348" spans="7:7" x14ac:dyDescent="0.3">
      <c r="G348" s="15"/>
    </row>
    <row r="349" spans="7:7" x14ac:dyDescent="0.3">
      <c r="G349" s="15"/>
    </row>
    <row r="350" spans="7:7" x14ac:dyDescent="0.3">
      <c r="G350" s="15"/>
    </row>
    <row r="351" spans="7:7" x14ac:dyDescent="0.3">
      <c r="G351" s="15"/>
    </row>
    <row r="352" spans="7:7" x14ac:dyDescent="0.3">
      <c r="G352" s="15"/>
    </row>
    <row r="353" spans="7:7" x14ac:dyDescent="0.3">
      <c r="G353" s="15"/>
    </row>
    <row r="354" spans="7:7" x14ac:dyDescent="0.3">
      <c r="G354" s="15"/>
    </row>
    <row r="355" spans="7:7" x14ac:dyDescent="0.3">
      <c r="G355" s="15"/>
    </row>
    <row r="356" spans="7:7" x14ac:dyDescent="0.3">
      <c r="G356" s="15"/>
    </row>
    <row r="357" spans="7:7" x14ac:dyDescent="0.3">
      <c r="G357" s="15"/>
    </row>
    <row r="358" spans="7:7" x14ac:dyDescent="0.3">
      <c r="G358" s="15"/>
    </row>
    <row r="359" spans="7:7" x14ac:dyDescent="0.3">
      <c r="G359" s="15"/>
    </row>
    <row r="360" spans="7:7" x14ac:dyDescent="0.3">
      <c r="G360" s="15"/>
    </row>
    <row r="361" spans="7:7" x14ac:dyDescent="0.3">
      <c r="G361" s="15"/>
    </row>
    <row r="362" spans="7:7" x14ac:dyDescent="0.3">
      <c r="G362" s="15"/>
    </row>
    <row r="363" spans="7:7" x14ac:dyDescent="0.3">
      <c r="G363" s="15"/>
    </row>
    <row r="364" spans="7:7" x14ac:dyDescent="0.3">
      <c r="G364" s="15"/>
    </row>
    <row r="365" spans="7:7" x14ac:dyDescent="0.3">
      <c r="G365" s="15"/>
    </row>
    <row r="366" spans="7:7" x14ac:dyDescent="0.3">
      <c r="G366" s="15"/>
    </row>
    <row r="367" spans="7:7" x14ac:dyDescent="0.3">
      <c r="G367" s="15"/>
    </row>
    <row r="368" spans="7:7" x14ac:dyDescent="0.3">
      <c r="G368" s="15"/>
    </row>
    <row r="369" spans="7:7" x14ac:dyDescent="0.3">
      <c r="G369" s="15"/>
    </row>
    <row r="370" spans="7:7" x14ac:dyDescent="0.3">
      <c r="G370" s="15"/>
    </row>
    <row r="371" spans="7:7" x14ac:dyDescent="0.3">
      <c r="G371" s="15"/>
    </row>
    <row r="372" spans="7:7" x14ac:dyDescent="0.3">
      <c r="G372" s="15"/>
    </row>
    <row r="373" spans="7:7" x14ac:dyDescent="0.3">
      <c r="G373" s="15"/>
    </row>
    <row r="374" spans="7:7" x14ac:dyDescent="0.3">
      <c r="G374" s="15"/>
    </row>
    <row r="375" spans="7:7" x14ac:dyDescent="0.3">
      <c r="G375" s="15"/>
    </row>
    <row r="376" spans="7:7" x14ac:dyDescent="0.3">
      <c r="G376" s="15"/>
    </row>
    <row r="377" spans="7:7" x14ac:dyDescent="0.3">
      <c r="G377" s="15"/>
    </row>
    <row r="378" spans="7:7" x14ac:dyDescent="0.3">
      <c r="G378" s="15"/>
    </row>
    <row r="379" spans="7:7" x14ac:dyDescent="0.3">
      <c r="G379" s="15"/>
    </row>
    <row r="380" spans="7:7" x14ac:dyDescent="0.3">
      <c r="G380" s="15"/>
    </row>
    <row r="381" spans="7:7" x14ac:dyDescent="0.3">
      <c r="G381" s="15"/>
    </row>
    <row r="382" spans="7:7" x14ac:dyDescent="0.3">
      <c r="G382" s="15"/>
    </row>
    <row r="383" spans="7:7" x14ac:dyDescent="0.3">
      <c r="G383" s="15"/>
    </row>
    <row r="384" spans="7:7" x14ac:dyDescent="0.3">
      <c r="G384" s="15"/>
    </row>
    <row r="385" spans="7:7" x14ac:dyDescent="0.3">
      <c r="G385" s="15"/>
    </row>
    <row r="386" spans="7:7" x14ac:dyDescent="0.3">
      <c r="G386" s="15"/>
    </row>
    <row r="387" spans="7:7" x14ac:dyDescent="0.3">
      <c r="G387" s="15"/>
    </row>
    <row r="388" spans="7:7" x14ac:dyDescent="0.3">
      <c r="G388" s="15"/>
    </row>
    <row r="389" spans="7:7" x14ac:dyDescent="0.3">
      <c r="G389" s="15"/>
    </row>
    <row r="390" spans="7:7" x14ac:dyDescent="0.3">
      <c r="G390" s="15"/>
    </row>
    <row r="391" spans="7:7" x14ac:dyDescent="0.3">
      <c r="G391" s="15"/>
    </row>
    <row r="392" spans="7:7" x14ac:dyDescent="0.3">
      <c r="G392" s="15"/>
    </row>
    <row r="393" spans="7:7" x14ac:dyDescent="0.3">
      <c r="G393" s="15"/>
    </row>
    <row r="394" spans="7:7" x14ac:dyDescent="0.3">
      <c r="G394" s="15"/>
    </row>
    <row r="395" spans="7:7" x14ac:dyDescent="0.3">
      <c r="G395" s="15"/>
    </row>
    <row r="396" spans="7:7" x14ac:dyDescent="0.3">
      <c r="G396" s="15"/>
    </row>
    <row r="397" spans="7:7" x14ac:dyDescent="0.3">
      <c r="G397" s="15"/>
    </row>
    <row r="398" spans="7:7" x14ac:dyDescent="0.3">
      <c r="G398" s="15"/>
    </row>
    <row r="399" spans="7:7" x14ac:dyDescent="0.3">
      <c r="G399" s="15"/>
    </row>
    <row r="400" spans="7:7" x14ac:dyDescent="0.3">
      <c r="G400" s="15"/>
    </row>
    <row r="401" spans="7:7" x14ac:dyDescent="0.3">
      <c r="G401" s="15"/>
    </row>
    <row r="402" spans="7:7" x14ac:dyDescent="0.3">
      <c r="G402" s="15"/>
    </row>
    <row r="403" spans="7:7" x14ac:dyDescent="0.3">
      <c r="G403" s="15"/>
    </row>
    <row r="404" spans="7:7" x14ac:dyDescent="0.3">
      <c r="G404" s="15"/>
    </row>
    <row r="405" spans="7:7" x14ac:dyDescent="0.3">
      <c r="G405" s="15"/>
    </row>
    <row r="406" spans="7:7" x14ac:dyDescent="0.3">
      <c r="G406" s="15"/>
    </row>
    <row r="407" spans="7:7" x14ac:dyDescent="0.3">
      <c r="G407" s="15"/>
    </row>
    <row r="408" spans="7:7" x14ac:dyDescent="0.3">
      <c r="G408" s="15"/>
    </row>
    <row r="409" spans="7:7" x14ac:dyDescent="0.3">
      <c r="G409" s="15"/>
    </row>
    <row r="410" spans="7:7" x14ac:dyDescent="0.3">
      <c r="G410" s="15"/>
    </row>
    <row r="411" spans="7:7" x14ac:dyDescent="0.3">
      <c r="G411" s="15"/>
    </row>
    <row r="412" spans="7:7" x14ac:dyDescent="0.3">
      <c r="G412" s="15"/>
    </row>
    <row r="413" spans="7:7" x14ac:dyDescent="0.3">
      <c r="G413" s="15"/>
    </row>
    <row r="414" spans="7:7" x14ac:dyDescent="0.3">
      <c r="G414" s="15"/>
    </row>
    <row r="415" spans="7:7" x14ac:dyDescent="0.3">
      <c r="G415" s="15"/>
    </row>
    <row r="416" spans="7:7" x14ac:dyDescent="0.3">
      <c r="G416" s="15"/>
    </row>
    <row r="417" spans="7:7" x14ac:dyDescent="0.3">
      <c r="G417" s="15"/>
    </row>
    <row r="418" spans="7:7" x14ac:dyDescent="0.3">
      <c r="G418" s="15"/>
    </row>
    <row r="419" spans="7:7" x14ac:dyDescent="0.3">
      <c r="G419" s="15"/>
    </row>
    <row r="420" spans="7:7" x14ac:dyDescent="0.3">
      <c r="G420" s="15"/>
    </row>
    <row r="421" spans="7:7" x14ac:dyDescent="0.3">
      <c r="G421" s="15"/>
    </row>
    <row r="422" spans="7:7" x14ac:dyDescent="0.3">
      <c r="G422" s="15"/>
    </row>
    <row r="423" spans="7:7" x14ac:dyDescent="0.3">
      <c r="G423" s="15"/>
    </row>
    <row r="424" spans="7:7" x14ac:dyDescent="0.3">
      <c r="G424" s="15"/>
    </row>
    <row r="425" spans="7:7" x14ac:dyDescent="0.3">
      <c r="G425" s="15"/>
    </row>
    <row r="426" spans="7:7" x14ac:dyDescent="0.3">
      <c r="G426" s="15"/>
    </row>
    <row r="427" spans="7:7" x14ac:dyDescent="0.3">
      <c r="G427" s="15"/>
    </row>
    <row r="428" spans="7:7" x14ac:dyDescent="0.3">
      <c r="G428" s="15"/>
    </row>
    <row r="429" spans="7:7" x14ac:dyDescent="0.3">
      <c r="G429" s="15"/>
    </row>
    <row r="430" spans="7:7" x14ac:dyDescent="0.3">
      <c r="G430" s="15"/>
    </row>
    <row r="431" spans="7:7" x14ac:dyDescent="0.3">
      <c r="G431" s="15"/>
    </row>
    <row r="432" spans="7:7" x14ac:dyDescent="0.3">
      <c r="G432" s="15"/>
    </row>
    <row r="433" spans="7:7" x14ac:dyDescent="0.3">
      <c r="G433" s="15"/>
    </row>
    <row r="434" spans="7:7" x14ac:dyDescent="0.3">
      <c r="G434" s="15"/>
    </row>
    <row r="435" spans="7:7" x14ac:dyDescent="0.3">
      <c r="G435" s="15"/>
    </row>
    <row r="436" spans="7:7" x14ac:dyDescent="0.3">
      <c r="G436" s="15"/>
    </row>
    <row r="437" spans="7:7" x14ac:dyDescent="0.3">
      <c r="G437" s="15"/>
    </row>
    <row r="438" spans="7:7" x14ac:dyDescent="0.3">
      <c r="G438" s="15"/>
    </row>
    <row r="439" spans="7:7" x14ac:dyDescent="0.3">
      <c r="G439" s="15"/>
    </row>
    <row r="440" spans="7:7" x14ac:dyDescent="0.3">
      <c r="G440" s="15"/>
    </row>
    <row r="441" spans="7:7" x14ac:dyDescent="0.3">
      <c r="G441" s="15"/>
    </row>
    <row r="442" spans="7:7" x14ac:dyDescent="0.3">
      <c r="G442" s="15"/>
    </row>
    <row r="443" spans="7:7" x14ac:dyDescent="0.3">
      <c r="G443" s="15"/>
    </row>
    <row r="444" spans="7:7" x14ac:dyDescent="0.3">
      <c r="G444" s="15"/>
    </row>
    <row r="445" spans="7:7" x14ac:dyDescent="0.3">
      <c r="G445" s="15"/>
    </row>
    <row r="446" spans="7:7" x14ac:dyDescent="0.3">
      <c r="G446" s="15"/>
    </row>
    <row r="447" spans="7:7" x14ac:dyDescent="0.3">
      <c r="G447" s="15"/>
    </row>
    <row r="448" spans="7:7" x14ac:dyDescent="0.3">
      <c r="G448" s="15"/>
    </row>
    <row r="449" spans="7:7" x14ac:dyDescent="0.3">
      <c r="G449" s="15"/>
    </row>
    <row r="450" spans="7:7" x14ac:dyDescent="0.3">
      <c r="G450" s="15"/>
    </row>
    <row r="451" spans="7:7" x14ac:dyDescent="0.3">
      <c r="G451" s="15"/>
    </row>
    <row r="452" spans="7:7" x14ac:dyDescent="0.3">
      <c r="G452" s="15"/>
    </row>
    <row r="453" spans="7:7" x14ac:dyDescent="0.3">
      <c r="G453" s="15"/>
    </row>
    <row r="454" spans="7:7" x14ac:dyDescent="0.3">
      <c r="G454" s="15"/>
    </row>
    <row r="455" spans="7:7" x14ac:dyDescent="0.3">
      <c r="G455" s="15"/>
    </row>
    <row r="456" spans="7:7" x14ac:dyDescent="0.3">
      <c r="G456" s="15"/>
    </row>
    <row r="457" spans="7:7" x14ac:dyDescent="0.3">
      <c r="G457" s="15"/>
    </row>
    <row r="458" spans="7:7" x14ac:dyDescent="0.3">
      <c r="G458" s="15"/>
    </row>
    <row r="459" spans="7:7" x14ac:dyDescent="0.3">
      <c r="G459" s="15"/>
    </row>
    <row r="460" spans="7:7" x14ac:dyDescent="0.3">
      <c r="G460" s="15"/>
    </row>
    <row r="461" spans="7:7" x14ac:dyDescent="0.3">
      <c r="G461" s="15"/>
    </row>
    <row r="462" spans="7:7" x14ac:dyDescent="0.3">
      <c r="G462" s="15"/>
    </row>
    <row r="463" spans="7:7" x14ac:dyDescent="0.3">
      <c r="G463" s="15"/>
    </row>
    <row r="464" spans="7:7" x14ac:dyDescent="0.3">
      <c r="G464" s="15"/>
    </row>
  </sheetData>
  <mergeCells count="4">
    <mergeCell ref="K3:K4"/>
    <mergeCell ref="L3:L4"/>
    <mergeCell ref="M3:M4"/>
    <mergeCell ref="N3:N4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8"/>
  <sheetViews>
    <sheetView workbookViewId="0"/>
  </sheetViews>
  <sheetFormatPr defaultRowHeight="15.6" x14ac:dyDescent="0.3"/>
  <cols>
    <col min="1" max="1" width="22.77734375" customWidth="1"/>
    <col min="2" max="2" width="16.77734375" customWidth="1"/>
    <col min="3" max="4" width="18.6640625" bestFit="1" customWidth="1"/>
    <col min="5" max="6" width="17.109375" bestFit="1" customWidth="1"/>
    <col min="7" max="7" width="18.6640625" bestFit="1" customWidth="1"/>
    <col min="8" max="8" width="9.109375" bestFit="1" customWidth="1"/>
    <col min="9" max="9" width="17.109375" bestFit="1" customWidth="1"/>
    <col min="10" max="10" width="18.6640625" bestFit="1" customWidth="1"/>
    <col min="11" max="12" width="17.109375" bestFit="1" customWidth="1"/>
    <col min="13" max="13" width="16" bestFit="1" customWidth="1"/>
    <col min="14" max="14" width="17.109375" bestFit="1" customWidth="1"/>
  </cols>
  <sheetData>
    <row r="1" spans="1:15" x14ac:dyDescent="0.3">
      <c r="A1" t="s">
        <v>3467</v>
      </c>
      <c r="E1" s="302"/>
      <c r="F1" s="302"/>
      <c r="G1" s="302"/>
      <c r="H1" s="302"/>
    </row>
    <row r="2" spans="1:15" x14ac:dyDescent="0.3">
      <c r="A2" s="415" t="s">
        <v>3468</v>
      </c>
      <c r="B2" s="415" t="s">
        <v>3469</v>
      </c>
      <c r="E2" s="302"/>
      <c r="F2" s="302"/>
      <c r="G2" s="302"/>
      <c r="H2" s="302"/>
    </row>
    <row r="3" spans="1:15" x14ac:dyDescent="0.3">
      <c r="A3" s="415" t="s">
        <v>3470</v>
      </c>
      <c r="B3" s="415" t="s">
        <v>3469</v>
      </c>
      <c r="E3" s="302"/>
      <c r="F3" s="302"/>
      <c r="G3" s="302"/>
      <c r="H3" s="302"/>
    </row>
    <row r="4" spans="1:15" x14ac:dyDescent="0.3">
      <c r="A4" s="415" t="s">
        <v>3471</v>
      </c>
      <c r="B4" s="415" t="s">
        <v>3469</v>
      </c>
      <c r="E4" s="302"/>
      <c r="F4" s="302"/>
      <c r="G4" s="302"/>
      <c r="H4" s="302"/>
    </row>
    <row r="5" spans="1:15" x14ac:dyDescent="0.3">
      <c r="A5" s="415" t="s">
        <v>3472</v>
      </c>
      <c r="B5" s="415" t="s">
        <v>3473</v>
      </c>
      <c r="E5" s="302"/>
      <c r="F5" s="302"/>
      <c r="G5" s="302"/>
      <c r="H5" s="302"/>
      <c r="I5" s="1203"/>
      <c r="J5" s="1203"/>
      <c r="L5" s="1204" t="s">
        <v>3474</v>
      </c>
      <c r="M5" s="1204"/>
      <c r="N5" s="1204"/>
    </row>
    <row r="6" spans="1:15" x14ac:dyDescent="0.3">
      <c r="A6" s="415" t="s">
        <v>717</v>
      </c>
      <c r="B6" s="415" t="s">
        <v>114</v>
      </c>
      <c r="E6" s="302"/>
      <c r="F6" s="302"/>
      <c r="G6" s="302"/>
      <c r="H6" s="302"/>
      <c r="I6" t="s">
        <v>3475</v>
      </c>
      <c r="J6" t="s">
        <v>3283</v>
      </c>
      <c r="M6" t="s">
        <v>3475</v>
      </c>
      <c r="N6" t="s">
        <v>3283</v>
      </c>
    </row>
    <row r="7" spans="1:15" x14ac:dyDescent="0.3">
      <c r="E7" s="302"/>
      <c r="F7" s="302"/>
      <c r="G7" s="302"/>
      <c r="H7" s="302"/>
      <c r="I7" s="70" t="s">
        <v>3476</v>
      </c>
      <c r="J7" s="70" t="s">
        <v>3477</v>
      </c>
      <c r="M7" s="328" t="s">
        <v>3476</v>
      </c>
      <c r="N7" s="328" t="s">
        <v>3477</v>
      </c>
    </row>
    <row r="8" spans="1:15" ht="18" customHeight="1" x14ac:dyDescent="0.3">
      <c r="A8" t="s">
        <v>3478</v>
      </c>
      <c r="B8" t="s">
        <v>3479</v>
      </c>
      <c r="E8" s="1205" t="s">
        <v>3480</v>
      </c>
      <c r="F8" s="1205"/>
      <c r="G8" s="1205"/>
      <c r="H8" s="416"/>
      <c r="I8" s="70"/>
      <c r="J8" s="70"/>
      <c r="L8" s="1206" t="s">
        <v>3481</v>
      </c>
      <c r="M8" s="328"/>
      <c r="N8" s="328"/>
    </row>
    <row r="9" spans="1:15" x14ac:dyDescent="0.3">
      <c r="A9" s="415" t="s">
        <v>3482</v>
      </c>
      <c r="B9" s="415" t="s">
        <v>3483</v>
      </c>
      <c r="C9" s="415" t="s">
        <v>3484</v>
      </c>
      <c r="D9" s="415" t="s">
        <v>745</v>
      </c>
      <c r="E9" t="s">
        <v>3483</v>
      </c>
      <c r="F9" t="s">
        <v>3484</v>
      </c>
      <c r="G9" t="s">
        <v>745</v>
      </c>
      <c r="I9" s="70" t="s">
        <v>3485</v>
      </c>
      <c r="J9" s="70" t="s">
        <v>3486</v>
      </c>
      <c r="L9" s="1206"/>
      <c r="M9" s="328" t="s">
        <v>3485</v>
      </c>
      <c r="N9" s="328" t="s">
        <v>3486</v>
      </c>
    </row>
    <row r="10" spans="1:15" x14ac:dyDescent="0.3">
      <c r="A10" t="s">
        <v>726</v>
      </c>
      <c r="B10" s="302">
        <v>881711884.01422298</v>
      </c>
      <c r="C10" s="302">
        <v>1014560491.9999579</v>
      </c>
      <c r="D10" s="302">
        <v>1896272376.0141811</v>
      </c>
      <c r="E10" s="302">
        <v>749455101.41208947</v>
      </c>
      <c r="F10" s="302">
        <v>862376418.19996417</v>
      </c>
      <c r="G10" s="302">
        <v>1611831519.6120539</v>
      </c>
      <c r="H10" s="302"/>
      <c r="I10" s="337"/>
      <c r="J10" s="337"/>
      <c r="O10" s="302"/>
    </row>
    <row r="11" spans="1:15" x14ac:dyDescent="0.3">
      <c r="A11" t="s">
        <v>5</v>
      </c>
      <c r="B11" s="302">
        <v>127350336.014219</v>
      </c>
      <c r="C11" s="302">
        <v>160734999.99998197</v>
      </c>
      <c r="D11" s="302">
        <v>288085336.01420099</v>
      </c>
      <c r="E11" s="302">
        <v>108247785.61208615</v>
      </c>
      <c r="F11" s="302">
        <v>136624749.99998468</v>
      </c>
      <c r="G11" s="302">
        <v>244872535.61207083</v>
      </c>
      <c r="H11" s="302" t="s">
        <v>5</v>
      </c>
      <c r="I11" s="337">
        <v>108247785.61208615</v>
      </c>
      <c r="J11" s="337">
        <v>136624749.99998468</v>
      </c>
      <c r="L11" s="302">
        <v>40523750</v>
      </c>
      <c r="M11" s="302">
        <v>18803011.94582079</v>
      </c>
      <c r="N11" s="302">
        <v>21720738.054179206</v>
      </c>
      <c r="O11" s="302"/>
    </row>
    <row r="12" spans="1:15" x14ac:dyDescent="0.3">
      <c r="A12" t="s">
        <v>3267</v>
      </c>
      <c r="B12" s="302">
        <v>7875000.0000099996</v>
      </c>
      <c r="C12" s="302">
        <v>25199999.999998003</v>
      </c>
      <c r="D12" s="302">
        <v>33075000.000008002</v>
      </c>
      <c r="E12" s="333">
        <v>6693750.0000084992</v>
      </c>
      <c r="F12" s="302">
        <v>21419999.999998301</v>
      </c>
      <c r="G12" s="302">
        <v>28113750.000006802</v>
      </c>
      <c r="H12" s="302" t="s">
        <v>3267</v>
      </c>
      <c r="I12" s="337">
        <v>6693750.0000084992</v>
      </c>
      <c r="J12" s="337">
        <v>21419999.999998301</v>
      </c>
      <c r="L12" s="302">
        <v>4781250</v>
      </c>
      <c r="M12" s="302">
        <v>2218499.0497166635</v>
      </c>
      <c r="N12" s="302">
        <v>2562750.950283336</v>
      </c>
      <c r="O12" s="302"/>
    </row>
    <row r="13" spans="1:15" x14ac:dyDescent="0.3">
      <c r="A13" t="s">
        <v>9</v>
      </c>
      <c r="B13" s="302">
        <v>266988000.00007305</v>
      </c>
      <c r="C13" s="302">
        <v>317276999.99995893</v>
      </c>
      <c r="D13" s="302">
        <v>584265000.00003195</v>
      </c>
      <c r="E13" s="333">
        <v>226939800.00006208</v>
      </c>
      <c r="F13" s="302">
        <v>269685449.99996507</v>
      </c>
      <c r="G13" s="302">
        <v>496625250.00002712</v>
      </c>
      <c r="H13" s="302" t="s">
        <v>9</v>
      </c>
      <c r="I13" s="337">
        <v>226939800.00006208</v>
      </c>
      <c r="J13" s="337">
        <v>269685449.99996507</v>
      </c>
      <c r="L13" s="302">
        <v>57247500</v>
      </c>
      <c r="M13" s="302">
        <v>26562828.621940855</v>
      </c>
      <c r="N13" s="302">
        <v>30684671.378059145</v>
      </c>
      <c r="O13" s="302"/>
    </row>
    <row r="14" spans="1:15" x14ac:dyDescent="0.3">
      <c r="A14" t="s">
        <v>6</v>
      </c>
      <c r="B14" s="302">
        <v>165466499.99996498</v>
      </c>
      <c r="C14" s="302">
        <v>169862500.00000703</v>
      </c>
      <c r="D14" s="302">
        <v>335328999.99997199</v>
      </c>
      <c r="E14" s="302">
        <v>140646524.99997023</v>
      </c>
      <c r="F14" s="302">
        <v>144383125.00000596</v>
      </c>
      <c r="G14" s="302">
        <v>285029649.99997616</v>
      </c>
      <c r="H14" s="302" t="s">
        <v>6</v>
      </c>
      <c r="I14" s="337">
        <v>140646524.99997023</v>
      </c>
      <c r="J14" s="337">
        <v>144383125.00000596</v>
      </c>
      <c r="L14" s="302">
        <v>31620000</v>
      </c>
      <c r="M14" s="302">
        <v>14671673.715459537</v>
      </c>
      <c r="N14" s="302">
        <v>16948326.284540463</v>
      </c>
      <c r="O14" s="302"/>
    </row>
    <row r="15" spans="1:15" x14ac:dyDescent="0.3">
      <c r="A15" t="s">
        <v>7</v>
      </c>
      <c r="B15" s="302">
        <v>82921547.999976993</v>
      </c>
      <c r="C15" s="302">
        <v>106473492.000017</v>
      </c>
      <c r="D15" s="302">
        <v>189395039.99999398</v>
      </c>
      <c r="E15" s="302">
        <v>70483315.799980447</v>
      </c>
      <c r="F15" s="302">
        <v>90502468.200014442</v>
      </c>
      <c r="G15" s="302">
        <v>160985783.99999487</v>
      </c>
      <c r="H15" s="302" t="s">
        <v>7</v>
      </c>
      <c r="I15" s="337">
        <v>70483315.799980447</v>
      </c>
      <c r="J15" s="337">
        <v>90502468.200014442</v>
      </c>
      <c r="L15" s="302">
        <v>29771250</v>
      </c>
      <c r="M15" s="302">
        <v>13813854.082902426</v>
      </c>
      <c r="N15" s="302">
        <v>15957395.917097572</v>
      </c>
      <c r="O15" s="302"/>
    </row>
    <row r="16" spans="1:15" x14ac:dyDescent="0.3">
      <c r="A16" t="s">
        <v>11</v>
      </c>
      <c r="B16" s="302"/>
      <c r="C16" s="302">
        <v>399999.99999600003</v>
      </c>
      <c r="D16" s="302">
        <v>399999.99999600003</v>
      </c>
      <c r="E16" s="302">
        <v>0</v>
      </c>
      <c r="F16" s="302">
        <v>339999.99999660003</v>
      </c>
      <c r="G16" s="302">
        <v>339999.99999660003</v>
      </c>
      <c r="H16" s="302" t="s">
        <v>11</v>
      </c>
      <c r="I16" s="337">
        <v>0</v>
      </c>
      <c r="J16" s="337">
        <v>339999.99999660003</v>
      </c>
      <c r="L16" s="302">
        <v>85000</v>
      </c>
      <c r="M16" s="302">
        <v>39439.983106074025</v>
      </c>
      <c r="N16" s="302">
        <v>45560.016893925975</v>
      </c>
      <c r="O16" s="302"/>
    </row>
    <row r="17" spans="1:15" x14ac:dyDescent="0.3">
      <c r="A17" t="s">
        <v>8</v>
      </c>
      <c r="B17" s="302">
        <v>231110499.99997902</v>
      </c>
      <c r="C17" s="302">
        <v>234612499.99999902</v>
      </c>
      <c r="D17" s="302">
        <v>465722999.99997807</v>
      </c>
      <c r="E17" s="302">
        <v>196443924.99998215</v>
      </c>
      <c r="F17" s="302">
        <v>199420624.99999917</v>
      </c>
      <c r="G17" s="302">
        <v>395864549.99998134</v>
      </c>
      <c r="H17" s="302" t="s">
        <v>8</v>
      </c>
      <c r="I17" s="337">
        <v>196443924.99998215</v>
      </c>
      <c r="J17" s="337">
        <v>199420624.99999917</v>
      </c>
      <c r="L17" s="302">
        <v>36465000</v>
      </c>
      <c r="M17" s="302">
        <v>16919752.752505757</v>
      </c>
      <c r="N17" s="302">
        <v>19545247.247494243</v>
      </c>
      <c r="O17" s="302"/>
    </row>
    <row r="18" spans="1:15" x14ac:dyDescent="0.3">
      <c r="A18" t="s">
        <v>741</v>
      </c>
      <c r="B18" s="302">
        <v>20495999.999985002</v>
      </c>
      <c r="C18" s="302">
        <v>27646000.000038002</v>
      </c>
      <c r="D18" s="302">
        <v>48142000.000023007</v>
      </c>
      <c r="E18" s="302">
        <v>17421599.999987252</v>
      </c>
      <c r="F18" s="302">
        <v>23499100.000032302</v>
      </c>
      <c r="G18" s="302">
        <v>40920700.000019558</v>
      </c>
      <c r="H18" s="302"/>
      <c r="I18" s="337"/>
      <c r="J18" s="337"/>
      <c r="L18" s="302"/>
      <c r="M18" s="302">
        <v>0</v>
      </c>
      <c r="N18" s="302">
        <v>0</v>
      </c>
      <c r="O18" s="302"/>
    </row>
    <row r="19" spans="1:15" x14ac:dyDescent="0.3">
      <c r="A19" t="s">
        <v>9</v>
      </c>
      <c r="B19" s="302">
        <v>20495999.999985002</v>
      </c>
      <c r="C19" s="302">
        <v>27646000.000038002</v>
      </c>
      <c r="D19" s="302">
        <v>48142000.000023007</v>
      </c>
      <c r="E19" s="302">
        <v>17421599.999987252</v>
      </c>
      <c r="F19" s="302">
        <v>23499100.000032302</v>
      </c>
      <c r="G19" s="302">
        <v>40920700.000019558</v>
      </c>
      <c r="H19" s="302" t="s">
        <v>2683</v>
      </c>
      <c r="I19" s="337">
        <v>17421599.999987252</v>
      </c>
      <c r="J19" s="337">
        <v>23499100.000032302</v>
      </c>
      <c r="L19" s="302">
        <v>5121250</v>
      </c>
      <c r="M19" s="302">
        <v>2376258.9821409597</v>
      </c>
      <c r="N19" s="302">
        <v>2744991.0178590398</v>
      </c>
      <c r="O19" s="302"/>
    </row>
    <row r="20" spans="1:15" x14ac:dyDescent="0.3">
      <c r="A20" s="415" t="s">
        <v>745</v>
      </c>
      <c r="B20" s="417">
        <v>902207884.01420796</v>
      </c>
      <c r="C20" s="417">
        <v>1042206491.9999959</v>
      </c>
      <c r="D20" s="417">
        <v>1944414376.014204</v>
      </c>
      <c r="E20" s="302">
        <v>766876701.41207671</v>
      </c>
      <c r="F20" s="302">
        <v>885875518.19999659</v>
      </c>
      <c r="G20" s="302">
        <v>1652752219.6120734</v>
      </c>
      <c r="H20" s="302" t="s">
        <v>745</v>
      </c>
      <c r="I20" s="337">
        <v>766876701.41207671</v>
      </c>
      <c r="J20" s="337">
        <v>885875518.19999647</v>
      </c>
      <c r="L20" s="302">
        <v>205615000</v>
      </c>
      <c r="M20" s="302">
        <v>95405319.133593082</v>
      </c>
      <c r="N20" s="302">
        <v>110209680.86640692</v>
      </c>
      <c r="O20" s="302"/>
    </row>
    <row r="21" spans="1:15" x14ac:dyDescent="0.3">
      <c r="B21" s="302"/>
      <c r="C21" s="302"/>
      <c r="D21" s="302"/>
      <c r="E21" s="302">
        <v>766876701.41207671</v>
      </c>
      <c r="F21" s="302">
        <v>885875518.19999659</v>
      </c>
      <c r="G21" s="302"/>
      <c r="H21" s="302" t="e">
        <v>#REF!</v>
      </c>
      <c r="I21" s="418"/>
      <c r="J21" s="418">
        <v>1652752219.6120732</v>
      </c>
      <c r="K21" s="332"/>
      <c r="L21" s="418"/>
      <c r="M21" s="418"/>
      <c r="N21" s="418">
        <v>205615000</v>
      </c>
      <c r="O21" s="302"/>
    </row>
    <row r="22" spans="1:15" x14ac:dyDescent="0.3">
      <c r="B22" s="302"/>
      <c r="C22" s="302"/>
      <c r="D22" s="302"/>
      <c r="E22" s="419">
        <v>0.46399980124792967</v>
      </c>
      <c r="F22" s="419">
        <v>0.53600019875207028</v>
      </c>
      <c r="G22" s="302"/>
      <c r="H22" s="302"/>
      <c r="I22" s="418"/>
      <c r="J22" s="418">
        <v>-4.76837158203125E-6</v>
      </c>
      <c r="K22" s="332"/>
      <c r="L22" s="418"/>
      <c r="M22" s="418"/>
      <c r="N22" s="418">
        <v>0</v>
      </c>
      <c r="O22" s="302"/>
    </row>
    <row r="23" spans="1:15" ht="16.2" thickBot="1" x14ac:dyDescent="0.35">
      <c r="B23" s="302"/>
      <c r="C23" s="302"/>
      <c r="D23" s="302"/>
      <c r="E23" s="333"/>
      <c r="F23" s="302"/>
      <c r="G23" s="302"/>
      <c r="H23" s="302"/>
      <c r="I23" s="418"/>
      <c r="J23" s="418"/>
      <c r="K23" s="332"/>
      <c r="L23" s="418"/>
      <c r="M23" s="418"/>
      <c r="N23" s="418"/>
      <c r="O23" s="302"/>
    </row>
    <row r="24" spans="1:15" x14ac:dyDescent="0.3">
      <c r="B24" s="302"/>
      <c r="C24" s="302"/>
      <c r="D24" s="302"/>
      <c r="E24" s="302"/>
      <c r="F24" s="302"/>
      <c r="G24" s="302"/>
      <c r="H24" s="302"/>
      <c r="I24" s="420"/>
      <c r="J24" s="421" t="s">
        <v>3487</v>
      </c>
      <c r="K24" s="422" t="s">
        <v>3488</v>
      </c>
      <c r="L24" s="418"/>
      <c r="M24" s="418"/>
      <c r="N24" s="418"/>
      <c r="O24" s="302"/>
    </row>
    <row r="25" spans="1:15" x14ac:dyDescent="0.3">
      <c r="B25" s="302"/>
      <c r="C25" s="302"/>
      <c r="D25" s="302"/>
      <c r="E25" s="302"/>
      <c r="F25" s="302"/>
      <c r="G25" s="302"/>
      <c r="H25" s="302"/>
      <c r="I25" s="423" t="s">
        <v>3489</v>
      </c>
      <c r="J25" s="418">
        <v>1611831519.6120584</v>
      </c>
      <c r="K25" s="424">
        <v>200493750</v>
      </c>
      <c r="L25" s="418"/>
      <c r="M25" s="418"/>
      <c r="N25" s="418"/>
      <c r="O25" s="302"/>
    </row>
    <row r="26" spans="1:15" x14ac:dyDescent="0.3">
      <c r="B26" s="302"/>
      <c r="C26" s="302"/>
      <c r="D26" s="302"/>
      <c r="E26" s="1"/>
      <c r="H26" s="302"/>
      <c r="I26" s="425" t="s">
        <v>3490</v>
      </c>
      <c r="J26" s="426">
        <v>40920700.000019558</v>
      </c>
      <c r="K26" s="427">
        <v>5121250</v>
      </c>
      <c r="O26" s="302"/>
    </row>
    <row r="27" spans="1:15" ht="16.2" thickBot="1" x14ac:dyDescent="0.35">
      <c r="B27" s="302"/>
      <c r="C27" s="302"/>
      <c r="D27" s="302"/>
      <c r="H27" s="302"/>
      <c r="I27" s="428" t="s">
        <v>3491</v>
      </c>
      <c r="J27" s="429">
        <v>1652752219.612078</v>
      </c>
      <c r="K27" s="430">
        <v>205615000</v>
      </c>
      <c r="O27" s="302"/>
    </row>
    <row r="28" spans="1:15" x14ac:dyDescent="0.3">
      <c r="B28" s="302"/>
      <c r="C28" s="302"/>
      <c r="D28" s="302"/>
      <c r="O28" s="302"/>
    </row>
  </sheetData>
  <mergeCells count="4">
    <mergeCell ref="I5:J5"/>
    <mergeCell ref="L5:N5"/>
    <mergeCell ref="E8:G8"/>
    <mergeCell ref="L8:L9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.6" x14ac:dyDescent="0.3"/>
  <sheetData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U371"/>
  <sheetViews>
    <sheetView workbookViewId="0"/>
  </sheetViews>
  <sheetFormatPr defaultColWidth="8.88671875" defaultRowHeight="15.6" x14ac:dyDescent="0.3"/>
  <cols>
    <col min="1" max="1" width="16" style="75" bestFit="1" customWidth="1"/>
    <col min="2" max="2" width="22" style="75" bestFit="1" customWidth="1"/>
    <col min="3" max="4" width="46.88671875" style="75" customWidth="1"/>
    <col min="5" max="5" width="26" style="75" bestFit="1" customWidth="1"/>
    <col min="6" max="6" width="12" style="75" bestFit="1" customWidth="1"/>
    <col min="7" max="7" width="20.88671875" style="75" bestFit="1" customWidth="1"/>
    <col min="8" max="16384" width="8.88671875" style="75"/>
  </cols>
  <sheetData>
    <row r="1" spans="1:47" x14ac:dyDescent="0.3">
      <c r="A1" s="74" t="s">
        <v>1343</v>
      </c>
      <c r="B1" s="74" t="s">
        <v>1344</v>
      </c>
      <c r="C1" s="74" t="s">
        <v>1345</v>
      </c>
      <c r="D1" s="74" t="s">
        <v>1345</v>
      </c>
      <c r="E1" s="74" t="s">
        <v>1346</v>
      </c>
      <c r="F1" s="74" t="s">
        <v>1347</v>
      </c>
      <c r="G1" s="74" t="s">
        <v>1348</v>
      </c>
      <c r="AU1" s="74" t="s">
        <v>134</v>
      </c>
    </row>
    <row r="2" spans="1:47" hidden="1" x14ac:dyDescent="0.3">
      <c r="A2" s="76" t="s">
        <v>1349</v>
      </c>
      <c r="B2" s="76" t="s">
        <v>4</v>
      </c>
      <c r="C2" s="76" t="s">
        <v>776</v>
      </c>
      <c r="D2" s="76" t="s">
        <v>776</v>
      </c>
      <c r="E2" s="76" t="s">
        <v>752</v>
      </c>
      <c r="F2" s="76" t="s">
        <v>1350</v>
      </c>
      <c r="G2" s="76" t="s">
        <v>1351</v>
      </c>
      <c r="AU2" s="74" t="s">
        <v>1352</v>
      </c>
    </row>
    <row r="3" spans="1:47" hidden="1" x14ac:dyDescent="0.3">
      <c r="A3" s="76" t="s">
        <v>1353</v>
      </c>
      <c r="B3" s="76" t="s">
        <v>1093</v>
      </c>
      <c r="C3" s="76" t="s">
        <v>1354</v>
      </c>
      <c r="D3" s="76" t="s">
        <v>75</v>
      </c>
      <c r="E3" s="76" t="s">
        <v>1355</v>
      </c>
      <c r="F3" s="76" t="s">
        <v>1349</v>
      </c>
      <c r="G3" s="76" t="s">
        <v>4</v>
      </c>
      <c r="AU3" s="74" t="s">
        <v>1356</v>
      </c>
    </row>
    <row r="4" spans="1:47" hidden="1" x14ac:dyDescent="0.3">
      <c r="A4" s="76" t="s">
        <v>1357</v>
      </c>
      <c r="B4" s="76" t="s">
        <v>1094</v>
      </c>
      <c r="C4" s="76" t="s">
        <v>1358</v>
      </c>
      <c r="D4" s="76" t="s">
        <v>76</v>
      </c>
      <c r="E4" s="76" t="s">
        <v>1355</v>
      </c>
      <c r="F4" s="76" t="s">
        <v>1349</v>
      </c>
      <c r="G4" s="76" t="s">
        <v>4</v>
      </c>
      <c r="AU4" s="74" t="s">
        <v>1359</v>
      </c>
    </row>
    <row r="5" spans="1:47" hidden="1" x14ac:dyDescent="0.3">
      <c r="A5" s="76" t="s">
        <v>1360</v>
      </c>
      <c r="B5" s="76" t="s">
        <v>1095</v>
      </c>
      <c r="C5" s="76" t="s">
        <v>1361</v>
      </c>
      <c r="D5" s="76" t="s">
        <v>77</v>
      </c>
      <c r="E5" s="76" t="s">
        <v>1355</v>
      </c>
      <c r="F5" s="76" t="s">
        <v>1349</v>
      </c>
      <c r="G5" s="76" t="s">
        <v>4</v>
      </c>
      <c r="AU5" s="74" t="s">
        <v>1362</v>
      </c>
    </row>
    <row r="6" spans="1:47" hidden="1" x14ac:dyDescent="0.3">
      <c r="A6" s="76" t="s">
        <v>1363</v>
      </c>
      <c r="B6" s="76" t="s">
        <v>1096</v>
      </c>
      <c r="C6" s="76" t="s">
        <v>1364</v>
      </c>
      <c r="D6" s="76" t="s">
        <v>2562</v>
      </c>
      <c r="E6" s="76" t="s">
        <v>1355</v>
      </c>
      <c r="F6" s="76" t="s">
        <v>1349</v>
      </c>
      <c r="G6" s="76" t="s">
        <v>4</v>
      </c>
      <c r="AU6" s="74" t="s">
        <v>1365</v>
      </c>
    </row>
    <row r="7" spans="1:47" hidden="1" x14ac:dyDescent="0.3">
      <c r="A7" s="76" t="s">
        <v>1366</v>
      </c>
      <c r="B7" s="76" t="s">
        <v>1097</v>
      </c>
      <c r="C7" s="76" t="s">
        <v>1367</v>
      </c>
      <c r="D7" s="76" t="s">
        <v>86</v>
      </c>
      <c r="E7" s="76" t="s">
        <v>1368</v>
      </c>
      <c r="F7" s="76" t="s">
        <v>1349</v>
      </c>
      <c r="G7" s="76" t="s">
        <v>4</v>
      </c>
      <c r="AU7" s="74" t="s">
        <v>1369</v>
      </c>
    </row>
    <row r="8" spans="1:47" hidden="1" x14ac:dyDescent="0.3">
      <c r="A8" s="76" t="s">
        <v>1370</v>
      </c>
      <c r="B8" s="76" t="s">
        <v>1371</v>
      </c>
      <c r="C8" s="76" t="s">
        <v>1372</v>
      </c>
      <c r="D8" s="76" t="s">
        <v>88</v>
      </c>
      <c r="E8" s="76" t="s">
        <v>1368</v>
      </c>
      <c r="F8" s="76" t="s">
        <v>1349</v>
      </c>
      <c r="G8" s="76" t="s">
        <v>4</v>
      </c>
      <c r="AU8" s="74" t="s">
        <v>1373</v>
      </c>
    </row>
    <row r="9" spans="1:47" hidden="1" x14ac:dyDescent="0.3">
      <c r="A9" s="76" t="s">
        <v>1374</v>
      </c>
      <c r="B9" s="76" t="s">
        <v>1098</v>
      </c>
      <c r="C9" s="76" t="s">
        <v>1375</v>
      </c>
      <c r="D9" s="76" t="s">
        <v>2563</v>
      </c>
      <c r="E9" s="76" t="s">
        <v>1376</v>
      </c>
      <c r="F9" s="76" t="s">
        <v>1349</v>
      </c>
      <c r="G9" s="76" t="s">
        <v>4</v>
      </c>
      <c r="AU9" s="74" t="s">
        <v>1377</v>
      </c>
    </row>
    <row r="10" spans="1:47" hidden="1" x14ac:dyDescent="0.3">
      <c r="A10" s="76" t="s">
        <v>1378</v>
      </c>
      <c r="B10" s="76" t="s">
        <v>1099</v>
      </c>
      <c r="C10" s="76" t="s">
        <v>1379</v>
      </c>
      <c r="D10" s="76" t="s">
        <v>78</v>
      </c>
      <c r="E10" s="76" t="s">
        <v>1355</v>
      </c>
      <c r="F10" s="76" t="s">
        <v>1349</v>
      </c>
      <c r="G10" s="76" t="s">
        <v>4</v>
      </c>
      <c r="AU10" s="74" t="s">
        <v>1380</v>
      </c>
    </row>
    <row r="11" spans="1:47" hidden="1" x14ac:dyDescent="0.3">
      <c r="A11" s="76" t="s">
        <v>1381</v>
      </c>
      <c r="B11" s="76" t="s">
        <v>1100</v>
      </c>
      <c r="C11" s="76" t="s">
        <v>1382</v>
      </c>
      <c r="D11" s="76" t="s">
        <v>85</v>
      </c>
      <c r="E11" s="76" t="s">
        <v>1383</v>
      </c>
      <c r="F11" s="76" t="s">
        <v>1349</v>
      </c>
      <c r="G11" s="76" t="s">
        <v>4</v>
      </c>
      <c r="AU11" s="74" t="s">
        <v>1384</v>
      </c>
    </row>
    <row r="12" spans="1:47" hidden="1" x14ac:dyDescent="0.3">
      <c r="A12" s="76" t="s">
        <v>1385</v>
      </c>
      <c r="B12" s="76" t="s">
        <v>1101</v>
      </c>
      <c r="C12" s="76" t="s">
        <v>1386</v>
      </c>
      <c r="D12" s="76" t="s">
        <v>2564</v>
      </c>
      <c r="E12" s="76" t="s">
        <v>1355</v>
      </c>
      <c r="F12" s="76" t="s">
        <v>1349</v>
      </c>
      <c r="G12" s="76" t="s">
        <v>4</v>
      </c>
      <c r="AU12" s="74" t="s">
        <v>1387</v>
      </c>
    </row>
    <row r="13" spans="1:47" hidden="1" x14ac:dyDescent="0.3">
      <c r="A13" s="76" t="s">
        <v>1388</v>
      </c>
      <c r="B13" s="76" t="s">
        <v>1102</v>
      </c>
      <c r="C13" s="76" t="s">
        <v>1389</v>
      </c>
      <c r="D13" s="76" t="s">
        <v>79</v>
      </c>
      <c r="E13" s="76" t="s">
        <v>1355</v>
      </c>
      <c r="F13" s="76" t="s">
        <v>1349</v>
      </c>
      <c r="G13" s="76" t="s">
        <v>4</v>
      </c>
      <c r="AU13" s="74" t="s">
        <v>1390</v>
      </c>
    </row>
    <row r="14" spans="1:47" hidden="1" x14ac:dyDescent="0.3">
      <c r="A14" s="76" t="s">
        <v>1391</v>
      </c>
      <c r="B14" s="76" t="s">
        <v>1392</v>
      </c>
      <c r="C14" s="76" t="s">
        <v>1393</v>
      </c>
      <c r="D14" s="76" t="s">
        <v>2565</v>
      </c>
      <c r="E14" s="76" t="s">
        <v>1368</v>
      </c>
      <c r="F14" s="76" t="s">
        <v>1349</v>
      </c>
      <c r="G14" s="76" t="s">
        <v>4</v>
      </c>
      <c r="AU14" s="74" t="s">
        <v>1394</v>
      </c>
    </row>
    <row r="15" spans="1:47" hidden="1" x14ac:dyDescent="0.3">
      <c r="A15" s="76" t="s">
        <v>1395</v>
      </c>
      <c r="B15" s="76" t="s">
        <v>1103</v>
      </c>
      <c r="C15" s="76" t="s">
        <v>907</v>
      </c>
      <c r="D15" s="76" t="s">
        <v>922</v>
      </c>
      <c r="E15" s="76" t="s">
        <v>1368</v>
      </c>
      <c r="F15" s="76" t="s">
        <v>1349</v>
      </c>
      <c r="G15" s="76" t="s">
        <v>4</v>
      </c>
      <c r="AU15" s="74" t="s">
        <v>1396</v>
      </c>
    </row>
    <row r="16" spans="1:47" hidden="1" x14ac:dyDescent="0.3">
      <c r="A16" s="76" t="s">
        <v>1397</v>
      </c>
      <c r="B16" s="76" t="s">
        <v>1104</v>
      </c>
      <c r="C16" s="76" t="s">
        <v>1398</v>
      </c>
      <c r="D16" s="76" t="s">
        <v>2566</v>
      </c>
      <c r="E16" s="76" t="s">
        <v>1355</v>
      </c>
      <c r="F16" s="76" t="s">
        <v>1349</v>
      </c>
      <c r="G16" s="76" t="s">
        <v>4</v>
      </c>
      <c r="AU16" s="74" t="s">
        <v>1399</v>
      </c>
    </row>
    <row r="17" spans="1:47" hidden="1" x14ac:dyDescent="0.3">
      <c r="A17" s="76" t="s">
        <v>1400</v>
      </c>
      <c r="B17" s="76" t="s">
        <v>1105</v>
      </c>
      <c r="C17" s="76" t="s">
        <v>1401</v>
      </c>
      <c r="D17" s="76" t="s">
        <v>80</v>
      </c>
      <c r="E17" s="76" t="s">
        <v>1355</v>
      </c>
      <c r="F17" s="76" t="s">
        <v>1349</v>
      </c>
      <c r="G17" s="76" t="s">
        <v>4</v>
      </c>
      <c r="AU17" s="74" t="s">
        <v>1402</v>
      </c>
    </row>
    <row r="18" spans="1:47" hidden="1" x14ac:dyDescent="0.3">
      <c r="A18" s="76" t="s">
        <v>1403</v>
      </c>
      <c r="B18" s="76" t="s">
        <v>1106</v>
      </c>
      <c r="C18" s="76" t="s">
        <v>1404</v>
      </c>
      <c r="D18" s="76" t="s">
        <v>2567</v>
      </c>
      <c r="E18" s="76" t="s">
        <v>1355</v>
      </c>
      <c r="F18" s="76" t="s">
        <v>1349</v>
      </c>
      <c r="G18" s="76" t="s">
        <v>4</v>
      </c>
      <c r="AU18" s="74" t="s">
        <v>1405</v>
      </c>
    </row>
    <row r="19" spans="1:47" hidden="1" x14ac:dyDescent="0.3">
      <c r="A19" s="76" t="s">
        <v>1406</v>
      </c>
      <c r="B19" s="76" t="s">
        <v>1107</v>
      </c>
      <c r="C19" s="76" t="s">
        <v>1407</v>
      </c>
      <c r="D19" s="76" t="s">
        <v>81</v>
      </c>
      <c r="E19" s="76" t="s">
        <v>1355</v>
      </c>
      <c r="F19" s="76" t="s">
        <v>1349</v>
      </c>
      <c r="G19" s="76" t="s">
        <v>4</v>
      </c>
      <c r="AU19" s="74" t="s">
        <v>1408</v>
      </c>
    </row>
    <row r="20" spans="1:47" hidden="1" x14ac:dyDescent="0.3">
      <c r="A20" s="76" t="s">
        <v>1409</v>
      </c>
      <c r="B20" s="76" t="s">
        <v>1108</v>
      </c>
      <c r="C20" s="76" t="s">
        <v>1410</v>
      </c>
      <c r="D20" s="76" t="s">
        <v>2568</v>
      </c>
      <c r="E20" s="76" t="s">
        <v>1355</v>
      </c>
      <c r="F20" s="76" t="s">
        <v>1349</v>
      </c>
      <c r="G20" s="76" t="s">
        <v>4</v>
      </c>
      <c r="AU20" s="74" t="s">
        <v>1411</v>
      </c>
    </row>
    <row r="21" spans="1:47" hidden="1" x14ac:dyDescent="0.3">
      <c r="A21" s="76" t="s">
        <v>1412</v>
      </c>
      <c r="B21" s="76" t="s">
        <v>1109</v>
      </c>
      <c r="C21" s="76" t="s">
        <v>1413</v>
      </c>
      <c r="D21" s="76" t="s">
        <v>2569</v>
      </c>
      <c r="E21" s="76" t="s">
        <v>1355</v>
      </c>
      <c r="F21" s="76" t="s">
        <v>1349</v>
      </c>
      <c r="G21" s="76" t="s">
        <v>4</v>
      </c>
      <c r="AU21" s="74" t="s">
        <v>1414</v>
      </c>
    </row>
    <row r="22" spans="1:47" hidden="1" x14ac:dyDescent="0.3">
      <c r="A22" s="76" t="s">
        <v>1415</v>
      </c>
      <c r="B22" s="76" t="s">
        <v>1110</v>
      </c>
      <c r="C22" s="76" t="s">
        <v>1416</v>
      </c>
      <c r="D22" s="76" t="s">
        <v>83</v>
      </c>
      <c r="E22" s="76" t="s">
        <v>1355</v>
      </c>
      <c r="F22" s="76" t="s">
        <v>1349</v>
      </c>
      <c r="G22" s="76" t="s">
        <v>4</v>
      </c>
      <c r="AU22" s="74" t="s">
        <v>1417</v>
      </c>
    </row>
    <row r="23" spans="1:47" hidden="1" x14ac:dyDescent="0.3">
      <c r="A23" s="76" t="s">
        <v>1418</v>
      </c>
      <c r="B23" s="76" t="s">
        <v>1111</v>
      </c>
      <c r="C23" s="76" t="s">
        <v>1419</v>
      </c>
      <c r="D23" s="76" t="s">
        <v>2570</v>
      </c>
      <c r="E23" s="76" t="s">
        <v>1383</v>
      </c>
      <c r="F23" s="76" t="s">
        <v>1349</v>
      </c>
      <c r="G23" s="76" t="s">
        <v>4</v>
      </c>
      <c r="AU23" s="74" t="s">
        <v>1420</v>
      </c>
    </row>
    <row r="24" spans="1:47" hidden="1" x14ac:dyDescent="0.3">
      <c r="A24" s="76" t="s">
        <v>1421</v>
      </c>
      <c r="B24" s="76" t="s">
        <v>1112</v>
      </c>
      <c r="C24" s="76" t="s">
        <v>1422</v>
      </c>
      <c r="D24" s="76" t="s">
        <v>82</v>
      </c>
      <c r="E24" s="76" t="s">
        <v>1355</v>
      </c>
      <c r="F24" s="76" t="s">
        <v>1349</v>
      </c>
      <c r="G24" s="76" t="s">
        <v>4</v>
      </c>
      <c r="AU24" s="74" t="s">
        <v>1423</v>
      </c>
    </row>
    <row r="25" spans="1:47" hidden="1" x14ac:dyDescent="0.3">
      <c r="A25" s="76" t="s">
        <v>1424</v>
      </c>
      <c r="B25" s="76" t="s">
        <v>1113</v>
      </c>
      <c r="C25" s="76" t="s">
        <v>1425</v>
      </c>
      <c r="D25" s="76" t="s">
        <v>84</v>
      </c>
      <c r="E25" s="76" t="s">
        <v>1355</v>
      </c>
      <c r="F25" s="76" t="s">
        <v>1349</v>
      </c>
      <c r="G25" s="76" t="s">
        <v>4</v>
      </c>
      <c r="AU25" s="74" t="s">
        <v>1426</v>
      </c>
    </row>
    <row r="26" spans="1:47" hidden="1" x14ac:dyDescent="0.3">
      <c r="A26" s="76" t="s">
        <v>1427</v>
      </c>
      <c r="B26" s="76" t="s">
        <v>1114</v>
      </c>
      <c r="C26" s="76" t="s">
        <v>1428</v>
      </c>
      <c r="D26" s="76" t="s">
        <v>87</v>
      </c>
      <c r="E26" s="76" t="s">
        <v>1368</v>
      </c>
      <c r="F26" s="76" t="s">
        <v>1349</v>
      </c>
      <c r="G26" s="76" t="s">
        <v>4</v>
      </c>
      <c r="AU26" s="74" t="s">
        <v>1429</v>
      </c>
    </row>
    <row r="27" spans="1:47" hidden="1" x14ac:dyDescent="0.3">
      <c r="A27" s="76" t="s">
        <v>1430</v>
      </c>
      <c r="B27" s="76" t="s">
        <v>1431</v>
      </c>
      <c r="C27" s="76" t="s">
        <v>1432</v>
      </c>
      <c r="D27" s="76" t="s">
        <v>1432</v>
      </c>
      <c r="E27" s="76" t="s">
        <v>1368</v>
      </c>
      <c r="F27" s="76" t="s">
        <v>1350</v>
      </c>
      <c r="G27" s="76" t="s">
        <v>1351</v>
      </c>
      <c r="AU27" s="74" t="s">
        <v>1433</v>
      </c>
    </row>
    <row r="28" spans="1:47" hidden="1" x14ac:dyDescent="0.3">
      <c r="A28" s="76" t="s">
        <v>1434</v>
      </c>
      <c r="B28" s="76" t="s">
        <v>1435</v>
      </c>
      <c r="C28" s="76" t="s">
        <v>1436</v>
      </c>
      <c r="D28" s="76" t="s">
        <v>1436</v>
      </c>
      <c r="E28" s="76" t="s">
        <v>1368</v>
      </c>
      <c r="F28" s="76" t="s">
        <v>1350</v>
      </c>
      <c r="G28" s="76" t="s">
        <v>1351</v>
      </c>
      <c r="AU28" s="74" t="s">
        <v>1437</v>
      </c>
    </row>
    <row r="29" spans="1:47" hidden="1" x14ac:dyDescent="0.3">
      <c r="A29" s="76" t="s">
        <v>1438</v>
      </c>
      <c r="B29" s="76" t="s">
        <v>1116</v>
      </c>
      <c r="C29" s="76" t="s">
        <v>1439</v>
      </c>
      <c r="D29" s="76" t="s">
        <v>2865</v>
      </c>
      <c r="E29" s="76" t="s">
        <v>1355</v>
      </c>
      <c r="F29" s="76" t="s">
        <v>1440</v>
      </c>
      <c r="G29" s="76" t="s">
        <v>729</v>
      </c>
      <c r="AU29" s="74" t="s">
        <v>1441</v>
      </c>
    </row>
    <row r="30" spans="1:47" hidden="1" x14ac:dyDescent="0.3">
      <c r="A30" s="76" t="s">
        <v>1442</v>
      </c>
      <c r="B30" s="76" t="s">
        <v>1117</v>
      </c>
      <c r="C30" s="76" t="s">
        <v>1443</v>
      </c>
      <c r="D30" s="76" t="s">
        <v>1086</v>
      </c>
      <c r="E30" s="76" t="s">
        <v>1355</v>
      </c>
      <c r="F30" s="76" t="s">
        <v>1440</v>
      </c>
      <c r="G30" s="76" t="s">
        <v>729</v>
      </c>
      <c r="AU30" s="74" t="s">
        <v>1444</v>
      </c>
    </row>
    <row r="31" spans="1:47" hidden="1" x14ac:dyDescent="0.3">
      <c r="A31" s="76" t="s">
        <v>1445</v>
      </c>
      <c r="B31" s="76" t="s">
        <v>1118</v>
      </c>
      <c r="C31" s="76" t="s">
        <v>1446</v>
      </c>
      <c r="D31" s="76" t="s">
        <v>2866</v>
      </c>
      <c r="E31" s="76" t="s">
        <v>1355</v>
      </c>
      <c r="F31" s="76" t="s">
        <v>1440</v>
      </c>
      <c r="G31" s="76" t="s">
        <v>729</v>
      </c>
      <c r="AU31" s="74" t="s">
        <v>1447</v>
      </c>
    </row>
    <row r="32" spans="1:47" hidden="1" x14ac:dyDescent="0.3">
      <c r="A32" s="76" t="s">
        <v>1448</v>
      </c>
      <c r="B32" s="76" t="s">
        <v>1119</v>
      </c>
      <c r="C32" s="76" t="s">
        <v>1449</v>
      </c>
      <c r="D32" s="76" t="s">
        <v>2867</v>
      </c>
      <c r="E32" s="76" t="s">
        <v>1355</v>
      </c>
      <c r="F32" s="76" t="s">
        <v>1440</v>
      </c>
      <c r="G32" s="76" t="s">
        <v>729</v>
      </c>
      <c r="AU32" s="74" t="s">
        <v>1450</v>
      </c>
    </row>
    <row r="33" spans="1:47" hidden="1" x14ac:dyDescent="0.3">
      <c r="A33" s="76" t="s">
        <v>1451</v>
      </c>
      <c r="B33" s="76" t="s">
        <v>1120</v>
      </c>
      <c r="C33" s="76" t="s">
        <v>1452</v>
      </c>
      <c r="D33" s="76" t="s">
        <v>2868</v>
      </c>
      <c r="E33" s="76" t="s">
        <v>1355</v>
      </c>
      <c r="F33" s="76" t="s">
        <v>1440</v>
      </c>
      <c r="G33" s="76" t="s">
        <v>729</v>
      </c>
      <c r="AU33" s="74" t="s">
        <v>1453</v>
      </c>
    </row>
    <row r="34" spans="1:47" hidden="1" x14ac:dyDescent="0.3">
      <c r="A34" s="76" t="s">
        <v>1454</v>
      </c>
      <c r="B34" s="76" t="s">
        <v>1121</v>
      </c>
      <c r="C34" s="76" t="s">
        <v>1455</v>
      </c>
      <c r="D34" s="76" t="s">
        <v>2869</v>
      </c>
      <c r="E34" s="76" t="s">
        <v>1355</v>
      </c>
      <c r="F34" s="76" t="s">
        <v>1440</v>
      </c>
      <c r="G34" s="76" t="s">
        <v>729</v>
      </c>
      <c r="AU34" s="74" t="s">
        <v>1456</v>
      </c>
    </row>
    <row r="35" spans="1:47" hidden="1" x14ac:dyDescent="0.3">
      <c r="A35" s="76" t="s">
        <v>1457</v>
      </c>
      <c r="B35" s="76" t="s">
        <v>1122</v>
      </c>
      <c r="C35" s="76" t="s">
        <v>1458</v>
      </c>
      <c r="D35" s="76" t="s">
        <v>2870</v>
      </c>
      <c r="E35" s="76" t="s">
        <v>1355</v>
      </c>
      <c r="F35" s="76" t="s">
        <v>1440</v>
      </c>
      <c r="G35" s="76" t="s">
        <v>729</v>
      </c>
      <c r="AU35" s="74" t="s">
        <v>1459</v>
      </c>
    </row>
    <row r="36" spans="1:47" hidden="1" x14ac:dyDescent="0.3">
      <c r="A36" s="76" t="s">
        <v>1460</v>
      </c>
      <c r="B36" s="76" t="s">
        <v>1123</v>
      </c>
      <c r="C36" s="76" t="s">
        <v>1461</v>
      </c>
      <c r="D36" s="76" t="s">
        <v>2871</v>
      </c>
      <c r="E36" s="76" t="s">
        <v>1355</v>
      </c>
      <c r="F36" s="76" t="s">
        <v>1440</v>
      </c>
      <c r="G36" s="76" t="s">
        <v>729</v>
      </c>
      <c r="AU36" s="74" t="s">
        <v>1462</v>
      </c>
    </row>
    <row r="37" spans="1:47" hidden="1" x14ac:dyDescent="0.3">
      <c r="A37" s="76" t="s">
        <v>1463</v>
      </c>
      <c r="B37" s="76" t="s">
        <v>1124</v>
      </c>
      <c r="C37" s="76" t="s">
        <v>1464</v>
      </c>
      <c r="D37" s="76" t="s">
        <v>2872</v>
      </c>
      <c r="E37" s="76" t="s">
        <v>1355</v>
      </c>
      <c r="F37" s="76" t="s">
        <v>1440</v>
      </c>
      <c r="G37" s="76" t="s">
        <v>729</v>
      </c>
      <c r="AU37" s="74" t="s">
        <v>1465</v>
      </c>
    </row>
    <row r="38" spans="1:47" hidden="1" x14ac:dyDescent="0.3">
      <c r="A38" s="76" t="s">
        <v>1440</v>
      </c>
      <c r="B38" s="76" t="s">
        <v>729</v>
      </c>
      <c r="C38" s="76" t="s">
        <v>1466</v>
      </c>
      <c r="D38" s="76" t="s">
        <v>1466</v>
      </c>
      <c r="E38" s="76" t="s">
        <v>1383</v>
      </c>
      <c r="F38" s="76" t="s">
        <v>1350</v>
      </c>
      <c r="G38" s="76" t="s">
        <v>1351</v>
      </c>
      <c r="AU38" s="74" t="s">
        <v>1467</v>
      </c>
    </row>
    <row r="39" spans="1:47" hidden="1" x14ac:dyDescent="0.3">
      <c r="A39" s="76" t="s">
        <v>1468</v>
      </c>
      <c r="B39" s="76" t="s">
        <v>1469</v>
      </c>
      <c r="C39" s="76" t="s">
        <v>1470</v>
      </c>
      <c r="D39" s="76" t="s">
        <v>2877</v>
      </c>
      <c r="E39" s="76" t="s">
        <v>1368</v>
      </c>
      <c r="F39" s="76" t="s">
        <v>1440</v>
      </c>
      <c r="G39" s="76" t="s">
        <v>729</v>
      </c>
      <c r="AU39" s="74" t="s">
        <v>1471</v>
      </c>
    </row>
    <row r="40" spans="1:47" hidden="1" x14ac:dyDescent="0.3">
      <c r="A40" s="76" t="s">
        <v>1472</v>
      </c>
      <c r="B40" s="76" t="s">
        <v>1473</v>
      </c>
      <c r="C40" s="76" t="s">
        <v>1474</v>
      </c>
      <c r="D40" s="76" t="s">
        <v>87</v>
      </c>
      <c r="E40" s="76" t="s">
        <v>1368</v>
      </c>
      <c r="F40" s="76" t="s">
        <v>1440</v>
      </c>
      <c r="G40" s="76" t="s">
        <v>729</v>
      </c>
      <c r="AU40" s="74" t="s">
        <v>1475</v>
      </c>
    </row>
    <row r="41" spans="1:47" hidden="1" x14ac:dyDescent="0.3">
      <c r="A41" s="76" t="s">
        <v>1476</v>
      </c>
      <c r="B41" s="76" t="s">
        <v>1125</v>
      </c>
      <c r="C41" s="76" t="s">
        <v>1477</v>
      </c>
      <c r="D41" s="76" t="s">
        <v>2873</v>
      </c>
      <c r="E41" s="76" t="s">
        <v>1355</v>
      </c>
      <c r="F41" s="76" t="s">
        <v>1440</v>
      </c>
      <c r="G41" s="76" t="s">
        <v>729</v>
      </c>
      <c r="AU41" s="74" t="s">
        <v>1478</v>
      </c>
    </row>
    <row r="42" spans="1:47" hidden="1" x14ac:dyDescent="0.3">
      <c r="A42" s="76" t="s">
        <v>1479</v>
      </c>
      <c r="B42" s="76" t="s">
        <v>1126</v>
      </c>
      <c r="C42" s="76" t="s">
        <v>1480</v>
      </c>
      <c r="D42" s="76" t="s">
        <v>2874</v>
      </c>
      <c r="E42" s="76" t="s">
        <v>1355</v>
      </c>
      <c r="F42" s="76" t="s">
        <v>1440</v>
      </c>
      <c r="G42" s="76" t="s">
        <v>729</v>
      </c>
      <c r="AU42" s="74" t="s">
        <v>1481</v>
      </c>
    </row>
    <row r="43" spans="1:47" hidden="1" x14ac:dyDescent="0.3">
      <c r="A43" s="76" t="s">
        <v>1482</v>
      </c>
      <c r="B43" s="76" t="s">
        <v>1127</v>
      </c>
      <c r="C43" s="76" t="s">
        <v>1483</v>
      </c>
      <c r="D43" s="76" t="s">
        <v>2875</v>
      </c>
      <c r="E43" s="76" t="s">
        <v>1355</v>
      </c>
      <c r="F43" s="76" t="s">
        <v>1440</v>
      </c>
      <c r="G43" s="76" t="s">
        <v>729</v>
      </c>
      <c r="AU43" s="74" t="s">
        <v>1484</v>
      </c>
    </row>
    <row r="44" spans="1:47" hidden="1" x14ac:dyDescent="0.3">
      <c r="A44" s="76" t="s">
        <v>1485</v>
      </c>
      <c r="B44" s="76" t="s">
        <v>1128</v>
      </c>
      <c r="C44" s="76" t="s">
        <v>1486</v>
      </c>
      <c r="D44" s="76" t="s">
        <v>2876</v>
      </c>
      <c r="E44" s="76" t="s">
        <v>1355</v>
      </c>
      <c r="F44" s="76" t="s">
        <v>1440</v>
      </c>
      <c r="G44" s="76" t="s">
        <v>729</v>
      </c>
      <c r="AU44" s="74" t="s">
        <v>1487</v>
      </c>
    </row>
    <row r="45" spans="1:47" hidden="1" x14ac:dyDescent="0.3">
      <c r="A45" s="76" t="s">
        <v>1488</v>
      </c>
      <c r="B45" s="76" t="s">
        <v>10</v>
      </c>
      <c r="C45" s="76" t="s">
        <v>782</v>
      </c>
      <c r="D45" s="76" t="s">
        <v>782</v>
      </c>
      <c r="E45" s="76" t="s">
        <v>752</v>
      </c>
      <c r="F45" s="76" t="s">
        <v>1350</v>
      </c>
      <c r="G45" s="76" t="s">
        <v>1351</v>
      </c>
      <c r="AU45" s="74" t="s">
        <v>1489</v>
      </c>
    </row>
    <row r="46" spans="1:47" hidden="1" x14ac:dyDescent="0.3">
      <c r="A46" s="76" t="s">
        <v>1490</v>
      </c>
      <c r="B46" s="76" t="s">
        <v>1131</v>
      </c>
      <c r="C46" s="76" t="s">
        <v>1491</v>
      </c>
      <c r="D46" s="76" t="s">
        <v>2765</v>
      </c>
      <c r="E46" s="76" t="s">
        <v>1383</v>
      </c>
      <c r="F46" s="76" t="s">
        <v>1488</v>
      </c>
      <c r="G46" s="76" t="s">
        <v>10</v>
      </c>
      <c r="AU46" s="74" t="s">
        <v>1492</v>
      </c>
    </row>
    <row r="47" spans="1:47" hidden="1" x14ac:dyDescent="0.3">
      <c r="A47" s="76" t="s">
        <v>1493</v>
      </c>
      <c r="B47" s="76" t="s">
        <v>1132</v>
      </c>
      <c r="C47" s="76" t="s">
        <v>1494</v>
      </c>
      <c r="D47" s="76" t="s">
        <v>2766</v>
      </c>
      <c r="E47" s="76" t="s">
        <v>1383</v>
      </c>
      <c r="F47" s="76" t="s">
        <v>1488</v>
      </c>
      <c r="G47" s="76" t="s">
        <v>10</v>
      </c>
      <c r="AU47" s="74" t="s">
        <v>1495</v>
      </c>
    </row>
    <row r="48" spans="1:47" hidden="1" x14ac:dyDescent="0.3">
      <c r="A48" s="76" t="s">
        <v>1496</v>
      </c>
      <c r="B48" s="76" t="s">
        <v>1133</v>
      </c>
      <c r="C48" s="76" t="s">
        <v>969</v>
      </c>
      <c r="D48" s="76" t="s">
        <v>86</v>
      </c>
      <c r="E48" s="76" t="s">
        <v>1368</v>
      </c>
      <c r="F48" s="76" t="s">
        <v>1488</v>
      </c>
      <c r="G48" s="76" t="s">
        <v>10</v>
      </c>
      <c r="AU48" s="74" t="s">
        <v>1497</v>
      </c>
    </row>
    <row r="49" spans="1:47" hidden="1" x14ac:dyDescent="0.3">
      <c r="A49" s="76" t="s">
        <v>1498</v>
      </c>
      <c r="B49" s="76" t="s">
        <v>1134</v>
      </c>
      <c r="C49" s="76" t="s">
        <v>1499</v>
      </c>
      <c r="D49" s="76" t="s">
        <v>2767</v>
      </c>
      <c r="E49" s="76" t="s">
        <v>1383</v>
      </c>
      <c r="F49" s="76" t="s">
        <v>1488</v>
      </c>
      <c r="G49" s="76" t="s">
        <v>10</v>
      </c>
      <c r="AU49" s="74" t="s">
        <v>1500</v>
      </c>
    </row>
    <row r="50" spans="1:47" hidden="1" x14ac:dyDescent="0.3">
      <c r="A50" s="76" t="s">
        <v>1501</v>
      </c>
      <c r="B50" s="76" t="s">
        <v>1502</v>
      </c>
      <c r="C50" s="76" t="s">
        <v>1503</v>
      </c>
      <c r="D50" s="76" t="s">
        <v>88</v>
      </c>
      <c r="E50" s="76" t="s">
        <v>1368</v>
      </c>
      <c r="F50" s="76" t="s">
        <v>1488</v>
      </c>
      <c r="G50" s="76" t="s">
        <v>10</v>
      </c>
      <c r="AU50" s="74" t="s">
        <v>1504</v>
      </c>
    </row>
    <row r="51" spans="1:47" hidden="1" x14ac:dyDescent="0.3">
      <c r="A51" s="76" t="s">
        <v>1505</v>
      </c>
      <c r="B51" s="76" t="s">
        <v>1135</v>
      </c>
      <c r="C51" s="76" t="s">
        <v>1506</v>
      </c>
      <c r="D51" s="76" t="s">
        <v>2768</v>
      </c>
      <c r="E51" s="76" t="s">
        <v>1383</v>
      </c>
      <c r="F51" s="76" t="s">
        <v>1488</v>
      </c>
      <c r="G51" s="76" t="s">
        <v>10</v>
      </c>
      <c r="AU51" s="74" t="s">
        <v>1507</v>
      </c>
    </row>
    <row r="52" spans="1:47" hidden="1" x14ac:dyDescent="0.3">
      <c r="A52" s="76" t="s">
        <v>1508</v>
      </c>
      <c r="B52" s="76" t="s">
        <v>1136</v>
      </c>
      <c r="C52" s="76" t="s">
        <v>1509</v>
      </c>
      <c r="D52" s="76" t="s">
        <v>2769</v>
      </c>
      <c r="E52" s="76" t="s">
        <v>1383</v>
      </c>
      <c r="F52" s="76" t="s">
        <v>1488</v>
      </c>
      <c r="G52" s="76" t="s">
        <v>10</v>
      </c>
      <c r="AU52" s="74" t="s">
        <v>1510</v>
      </c>
    </row>
    <row r="53" spans="1:47" hidden="1" x14ac:dyDescent="0.3">
      <c r="A53" s="76" t="s">
        <v>1511</v>
      </c>
      <c r="B53" s="76" t="s">
        <v>1137</v>
      </c>
      <c r="C53" s="76" t="s">
        <v>1512</v>
      </c>
      <c r="D53" s="76" t="s">
        <v>2770</v>
      </c>
      <c r="E53" s="76" t="s">
        <v>1376</v>
      </c>
      <c r="F53" s="76" t="s">
        <v>1488</v>
      </c>
      <c r="G53" s="76" t="s">
        <v>10</v>
      </c>
      <c r="AU53" s="74" t="s">
        <v>1513</v>
      </c>
    </row>
    <row r="54" spans="1:47" hidden="1" x14ac:dyDescent="0.3">
      <c r="A54" s="76" t="s">
        <v>1514</v>
      </c>
      <c r="B54" s="76" t="s">
        <v>1515</v>
      </c>
      <c r="C54" s="76" t="s">
        <v>1516</v>
      </c>
      <c r="D54" s="76" t="s">
        <v>2771</v>
      </c>
      <c r="E54" s="76" t="s">
        <v>1368</v>
      </c>
      <c r="F54" s="76" t="s">
        <v>1488</v>
      </c>
      <c r="G54" s="76" t="s">
        <v>10</v>
      </c>
      <c r="AU54" s="74" t="s">
        <v>1517</v>
      </c>
    </row>
    <row r="55" spans="1:47" hidden="1" x14ac:dyDescent="0.3">
      <c r="A55" s="76" t="s">
        <v>1518</v>
      </c>
      <c r="B55" s="76" t="s">
        <v>1519</v>
      </c>
      <c r="C55" s="76" t="s">
        <v>1520</v>
      </c>
      <c r="D55" s="76" t="s">
        <v>2772</v>
      </c>
      <c r="E55" s="76" t="s">
        <v>1368</v>
      </c>
      <c r="F55" s="76" t="s">
        <v>1488</v>
      </c>
      <c r="G55" s="76" t="s">
        <v>10</v>
      </c>
      <c r="AU55" s="74" t="s">
        <v>1521</v>
      </c>
    </row>
    <row r="56" spans="1:47" hidden="1" x14ac:dyDescent="0.3">
      <c r="A56" s="76" t="s">
        <v>1522</v>
      </c>
      <c r="B56" s="76" t="s">
        <v>1523</v>
      </c>
      <c r="C56" s="76" t="s">
        <v>1524</v>
      </c>
      <c r="D56" s="76" t="s">
        <v>2773</v>
      </c>
      <c r="E56" s="76" t="s">
        <v>1368</v>
      </c>
      <c r="F56" s="76" t="s">
        <v>1488</v>
      </c>
      <c r="G56" s="76" t="s">
        <v>10</v>
      </c>
      <c r="AU56" s="74" t="s">
        <v>1525</v>
      </c>
    </row>
    <row r="57" spans="1:47" hidden="1" x14ac:dyDescent="0.3">
      <c r="A57" s="76" t="s">
        <v>1526</v>
      </c>
      <c r="B57" s="76" t="s">
        <v>1527</v>
      </c>
      <c r="C57" s="76" t="s">
        <v>973</v>
      </c>
      <c r="D57" s="76" t="s">
        <v>87</v>
      </c>
      <c r="E57" s="76" t="s">
        <v>1368</v>
      </c>
      <c r="F57" s="76" t="s">
        <v>1488</v>
      </c>
      <c r="G57" s="76" t="s">
        <v>10</v>
      </c>
      <c r="AU57" s="74" t="s">
        <v>1528</v>
      </c>
    </row>
    <row r="58" spans="1:47" hidden="1" x14ac:dyDescent="0.3">
      <c r="A58" s="76" t="s">
        <v>1529</v>
      </c>
      <c r="B58" s="76" t="s">
        <v>1530</v>
      </c>
      <c r="C58" s="76" t="s">
        <v>1531</v>
      </c>
      <c r="D58" s="76" t="s">
        <v>1531</v>
      </c>
      <c r="E58" s="76" t="s">
        <v>1532</v>
      </c>
      <c r="F58" s="76" t="s">
        <v>1350</v>
      </c>
      <c r="G58" s="76" t="s">
        <v>1351</v>
      </c>
      <c r="AU58" s="74" t="s">
        <v>1533</v>
      </c>
    </row>
    <row r="59" spans="1:47" hidden="1" x14ac:dyDescent="0.3">
      <c r="A59" s="76" t="s">
        <v>1534</v>
      </c>
      <c r="B59" s="76" t="s">
        <v>1535</v>
      </c>
      <c r="C59" s="76" t="s">
        <v>1536</v>
      </c>
      <c r="D59" s="76" t="s">
        <v>1536</v>
      </c>
      <c r="E59" s="76" t="s">
        <v>1532</v>
      </c>
      <c r="F59" s="76" t="s">
        <v>1350</v>
      </c>
      <c r="G59" s="76" t="s">
        <v>1351</v>
      </c>
      <c r="AU59" s="74" t="s">
        <v>1537</v>
      </c>
    </row>
    <row r="60" spans="1:47" hidden="1" x14ac:dyDescent="0.3">
      <c r="A60" s="76" t="s">
        <v>1538</v>
      </c>
      <c r="B60" s="76" t="s">
        <v>5</v>
      </c>
      <c r="C60" s="76" t="s">
        <v>777</v>
      </c>
      <c r="D60" s="76" t="s">
        <v>777</v>
      </c>
      <c r="E60" s="76" t="s">
        <v>752</v>
      </c>
      <c r="F60" s="76" t="s">
        <v>1350</v>
      </c>
      <c r="G60" s="76" t="s">
        <v>1351</v>
      </c>
      <c r="AU60" s="74" t="s">
        <v>1539</v>
      </c>
    </row>
    <row r="61" spans="1:47" hidden="1" x14ac:dyDescent="0.3">
      <c r="A61" s="76" t="s">
        <v>1540</v>
      </c>
      <c r="B61" s="76" t="s">
        <v>1139</v>
      </c>
      <c r="C61" s="76" t="s">
        <v>1541</v>
      </c>
      <c r="D61" s="76" t="s">
        <v>1541</v>
      </c>
      <c r="E61" s="76" t="s">
        <v>1542</v>
      </c>
      <c r="F61" s="76" t="s">
        <v>1543</v>
      </c>
      <c r="G61" s="76" t="s">
        <v>1180</v>
      </c>
      <c r="AU61" s="74" t="s">
        <v>1544</v>
      </c>
    </row>
    <row r="62" spans="1:47" hidden="1" x14ac:dyDescent="0.3">
      <c r="A62" s="76" t="s">
        <v>1545</v>
      </c>
      <c r="B62" s="76" t="s">
        <v>1140</v>
      </c>
      <c r="C62" s="76" t="s">
        <v>1546</v>
      </c>
      <c r="D62" s="76" t="s">
        <v>1546</v>
      </c>
      <c r="E62" s="76" t="s">
        <v>1542</v>
      </c>
      <c r="F62" s="76" t="s">
        <v>1547</v>
      </c>
      <c r="G62" s="76" t="s">
        <v>1155</v>
      </c>
      <c r="AU62" s="74" t="s">
        <v>1548</v>
      </c>
    </row>
    <row r="63" spans="1:47" hidden="1" x14ac:dyDescent="0.3">
      <c r="A63" s="76" t="s">
        <v>1549</v>
      </c>
      <c r="B63" s="76" t="s">
        <v>1550</v>
      </c>
      <c r="C63" s="76" t="s">
        <v>1551</v>
      </c>
      <c r="D63" s="76" t="s">
        <v>1551</v>
      </c>
      <c r="E63" s="76" t="s">
        <v>1383</v>
      </c>
      <c r="F63" s="76" t="s">
        <v>1538</v>
      </c>
      <c r="G63" s="76" t="s">
        <v>5</v>
      </c>
      <c r="AU63" s="74" t="s">
        <v>1552</v>
      </c>
    </row>
    <row r="64" spans="1:47" hidden="1" x14ac:dyDescent="0.3">
      <c r="A64" s="76" t="s">
        <v>1553</v>
      </c>
      <c r="B64" s="76" t="s">
        <v>1141</v>
      </c>
      <c r="C64" s="76" t="s">
        <v>1554</v>
      </c>
      <c r="D64" s="76" t="s">
        <v>1554</v>
      </c>
      <c r="E64" s="76" t="s">
        <v>1542</v>
      </c>
      <c r="F64" s="76" t="s">
        <v>1549</v>
      </c>
      <c r="G64" s="76" t="s">
        <v>1550</v>
      </c>
      <c r="AU64" s="74" t="s">
        <v>1555</v>
      </c>
    </row>
    <row r="65" spans="1:47" hidden="1" x14ac:dyDescent="0.3">
      <c r="A65" s="76" t="s">
        <v>1556</v>
      </c>
      <c r="B65" s="76" t="s">
        <v>1142</v>
      </c>
      <c r="C65" s="76" t="s">
        <v>1557</v>
      </c>
      <c r="D65" s="76" t="s">
        <v>1557</v>
      </c>
      <c r="E65" s="76" t="s">
        <v>1542</v>
      </c>
      <c r="F65" s="76" t="s">
        <v>1549</v>
      </c>
      <c r="G65" s="76" t="s">
        <v>1550</v>
      </c>
      <c r="AU65" s="74" t="s">
        <v>1558</v>
      </c>
    </row>
    <row r="66" spans="1:47" hidden="1" x14ac:dyDescent="0.3">
      <c r="A66" s="76" t="s">
        <v>1559</v>
      </c>
      <c r="B66" s="76" t="s">
        <v>1143</v>
      </c>
      <c r="C66" s="76" t="s">
        <v>1560</v>
      </c>
      <c r="D66" s="76" t="s">
        <v>1560</v>
      </c>
      <c r="E66" s="76" t="s">
        <v>1542</v>
      </c>
      <c r="F66" s="76" t="s">
        <v>1549</v>
      </c>
      <c r="G66" s="76" t="s">
        <v>1550</v>
      </c>
      <c r="AU66" s="74" t="s">
        <v>1561</v>
      </c>
    </row>
    <row r="67" spans="1:47" hidden="1" x14ac:dyDescent="0.3">
      <c r="A67" s="76" t="s">
        <v>1562</v>
      </c>
      <c r="B67" s="76" t="s">
        <v>1144</v>
      </c>
      <c r="C67" s="76" t="s">
        <v>1563</v>
      </c>
      <c r="D67" s="76" t="s">
        <v>1563</v>
      </c>
      <c r="E67" s="76" t="s">
        <v>1542</v>
      </c>
      <c r="F67" s="76" t="s">
        <v>1549</v>
      </c>
      <c r="G67" s="76" t="s">
        <v>1550</v>
      </c>
      <c r="AU67" s="74" t="s">
        <v>1564</v>
      </c>
    </row>
    <row r="68" spans="1:47" hidden="1" x14ac:dyDescent="0.3">
      <c r="A68" s="76" t="s">
        <v>1565</v>
      </c>
      <c r="B68" s="76" t="s">
        <v>1145</v>
      </c>
      <c r="C68" s="76" t="s">
        <v>1566</v>
      </c>
      <c r="D68" s="76" t="s">
        <v>1566</v>
      </c>
      <c r="E68" s="76" t="s">
        <v>1542</v>
      </c>
      <c r="F68" s="76" t="s">
        <v>1549</v>
      </c>
      <c r="G68" s="76" t="s">
        <v>1550</v>
      </c>
      <c r="AU68" s="74" t="s">
        <v>1567</v>
      </c>
    </row>
    <row r="69" spans="1:47" hidden="1" x14ac:dyDescent="0.3">
      <c r="A69" s="76" t="s">
        <v>1568</v>
      </c>
      <c r="B69" s="76" t="s">
        <v>1146</v>
      </c>
      <c r="C69" s="76" t="s">
        <v>1569</v>
      </c>
      <c r="D69" s="76" t="s">
        <v>1569</v>
      </c>
      <c r="E69" s="76" t="s">
        <v>1542</v>
      </c>
      <c r="F69" s="76" t="s">
        <v>1570</v>
      </c>
      <c r="G69" s="76" t="s">
        <v>1206</v>
      </c>
      <c r="AU69" s="74" t="s">
        <v>1571</v>
      </c>
    </row>
    <row r="70" spans="1:47" hidden="1" x14ac:dyDescent="0.3">
      <c r="A70" s="76" t="s">
        <v>1572</v>
      </c>
      <c r="B70" s="76" t="s">
        <v>1147</v>
      </c>
      <c r="C70" s="76" t="s">
        <v>1573</v>
      </c>
      <c r="D70" s="76" t="s">
        <v>1573</v>
      </c>
      <c r="E70" s="76" t="s">
        <v>1542</v>
      </c>
      <c r="F70" s="76" t="s">
        <v>1574</v>
      </c>
      <c r="G70" s="76" t="s">
        <v>1199</v>
      </c>
      <c r="AU70" s="74" t="s">
        <v>1575</v>
      </c>
    </row>
    <row r="71" spans="1:47" hidden="1" x14ac:dyDescent="0.3">
      <c r="A71" s="76" t="s">
        <v>1576</v>
      </c>
      <c r="B71" s="76" t="s">
        <v>1148</v>
      </c>
      <c r="C71" s="76" t="s">
        <v>1577</v>
      </c>
      <c r="D71" s="76" t="s">
        <v>1577</v>
      </c>
      <c r="E71" s="76" t="s">
        <v>1542</v>
      </c>
      <c r="F71" s="76" t="s">
        <v>1578</v>
      </c>
      <c r="G71" s="76" t="s">
        <v>1218</v>
      </c>
      <c r="AU71" s="74" t="s">
        <v>1579</v>
      </c>
    </row>
    <row r="72" spans="1:47" hidden="1" x14ac:dyDescent="0.3">
      <c r="A72" s="76" t="s">
        <v>1580</v>
      </c>
      <c r="B72" s="76" t="s">
        <v>1149</v>
      </c>
      <c r="C72" s="76" t="s">
        <v>1581</v>
      </c>
      <c r="D72" s="76" t="s">
        <v>1581</v>
      </c>
      <c r="E72" s="76" t="s">
        <v>1542</v>
      </c>
      <c r="F72" s="76" t="s">
        <v>1582</v>
      </c>
      <c r="G72" s="76" t="s">
        <v>1216</v>
      </c>
      <c r="AU72" s="74" t="s">
        <v>1583</v>
      </c>
    </row>
    <row r="73" spans="1:47" hidden="1" x14ac:dyDescent="0.3">
      <c r="A73" s="76" t="s">
        <v>1584</v>
      </c>
      <c r="B73" s="76" t="s">
        <v>1585</v>
      </c>
      <c r="C73" s="76" t="s">
        <v>1586</v>
      </c>
      <c r="D73" s="76" t="s">
        <v>1586</v>
      </c>
      <c r="E73" s="76" t="s">
        <v>1368</v>
      </c>
      <c r="F73" s="76" t="s">
        <v>1538</v>
      </c>
      <c r="G73" s="76" t="s">
        <v>5</v>
      </c>
      <c r="AU73" s="74" t="s">
        <v>1587</v>
      </c>
    </row>
    <row r="74" spans="1:47" hidden="1" x14ac:dyDescent="0.3">
      <c r="A74" s="76" t="s">
        <v>1588</v>
      </c>
      <c r="B74" s="76" t="s">
        <v>1150</v>
      </c>
      <c r="C74" s="76" t="s">
        <v>1589</v>
      </c>
      <c r="D74" s="76" t="s">
        <v>1589</v>
      </c>
      <c r="E74" s="76" t="s">
        <v>1542</v>
      </c>
      <c r="F74" s="76" t="s">
        <v>1582</v>
      </c>
      <c r="G74" s="76" t="s">
        <v>1216</v>
      </c>
      <c r="AU74" s="74" t="s">
        <v>1590</v>
      </c>
    </row>
    <row r="75" spans="1:47" hidden="1" x14ac:dyDescent="0.3">
      <c r="A75" s="76" t="s">
        <v>1591</v>
      </c>
      <c r="B75" s="76" t="s">
        <v>1592</v>
      </c>
      <c r="C75" s="76" t="s">
        <v>898</v>
      </c>
      <c r="D75" s="76" t="s">
        <v>898</v>
      </c>
      <c r="E75" s="76" t="s">
        <v>1368</v>
      </c>
      <c r="F75" s="76" t="s">
        <v>1538</v>
      </c>
      <c r="G75" s="76" t="s">
        <v>5</v>
      </c>
      <c r="AU75" s="74" t="s">
        <v>1593</v>
      </c>
    </row>
    <row r="76" spans="1:47" hidden="1" x14ac:dyDescent="0.3">
      <c r="A76" s="76" t="s">
        <v>1594</v>
      </c>
      <c r="B76" s="76" t="s">
        <v>1226</v>
      </c>
      <c r="C76" s="76" t="s">
        <v>1595</v>
      </c>
      <c r="D76" s="76" t="s">
        <v>1595</v>
      </c>
      <c r="E76" s="76" t="s">
        <v>1376</v>
      </c>
      <c r="F76" s="76" t="s">
        <v>1538</v>
      </c>
      <c r="G76" s="76" t="s">
        <v>5</v>
      </c>
      <c r="AU76" s="74" t="s">
        <v>1596</v>
      </c>
    </row>
    <row r="77" spans="1:47" hidden="1" x14ac:dyDescent="0.3">
      <c r="A77" s="76" t="s">
        <v>1597</v>
      </c>
      <c r="B77" s="76" t="s">
        <v>1339</v>
      </c>
      <c r="C77" s="76" t="s">
        <v>1598</v>
      </c>
      <c r="D77" s="76" t="s">
        <v>1598</v>
      </c>
      <c r="E77" s="76" t="s">
        <v>1368</v>
      </c>
      <c r="F77" s="76" t="s">
        <v>1538</v>
      </c>
      <c r="G77" s="76" t="s">
        <v>5</v>
      </c>
      <c r="AU77" s="74" t="s">
        <v>1599</v>
      </c>
    </row>
    <row r="78" spans="1:47" hidden="1" x14ac:dyDescent="0.3">
      <c r="A78" s="76" t="s">
        <v>1600</v>
      </c>
      <c r="B78" s="76" t="s">
        <v>1151</v>
      </c>
      <c r="C78" s="76" t="s">
        <v>1601</v>
      </c>
      <c r="D78" s="76" t="s">
        <v>1601</v>
      </c>
      <c r="E78" s="76" t="s">
        <v>1542</v>
      </c>
      <c r="F78" s="76" t="s">
        <v>1574</v>
      </c>
      <c r="G78" s="76" t="s">
        <v>1199</v>
      </c>
      <c r="AU78" s="74" t="s">
        <v>1602</v>
      </c>
    </row>
    <row r="79" spans="1:47" hidden="1" x14ac:dyDescent="0.3">
      <c r="A79" s="76" t="s">
        <v>1603</v>
      </c>
      <c r="B79" s="76" t="s">
        <v>1152</v>
      </c>
      <c r="C79" s="76" t="s">
        <v>1604</v>
      </c>
      <c r="D79" s="76" t="s">
        <v>1604</v>
      </c>
      <c r="E79" s="76" t="s">
        <v>1542</v>
      </c>
      <c r="F79" s="76" t="s">
        <v>1547</v>
      </c>
      <c r="G79" s="76" t="s">
        <v>1155</v>
      </c>
      <c r="AU79" s="74" t="s">
        <v>1605</v>
      </c>
    </row>
    <row r="80" spans="1:47" hidden="1" x14ac:dyDescent="0.3">
      <c r="A80" s="76" t="s">
        <v>1606</v>
      </c>
      <c r="B80" s="76" t="s">
        <v>1153</v>
      </c>
      <c r="C80" s="76" t="s">
        <v>1607</v>
      </c>
      <c r="D80" s="76" t="s">
        <v>1607</v>
      </c>
      <c r="E80" s="76" t="s">
        <v>1542</v>
      </c>
      <c r="F80" s="76" t="s">
        <v>1608</v>
      </c>
      <c r="G80" s="76" t="s">
        <v>1187</v>
      </c>
      <c r="AU80" s="74" t="s">
        <v>1609</v>
      </c>
    </row>
    <row r="81" spans="1:47" hidden="1" x14ac:dyDescent="0.3">
      <c r="A81" s="76" t="s">
        <v>1610</v>
      </c>
      <c r="B81" s="76" t="s">
        <v>1611</v>
      </c>
      <c r="C81" s="76" t="s">
        <v>1612</v>
      </c>
      <c r="D81" s="76" t="s">
        <v>1612</v>
      </c>
      <c r="E81" s="76" t="s">
        <v>1368</v>
      </c>
      <c r="F81" s="76" t="s">
        <v>1608</v>
      </c>
      <c r="G81" s="76" t="s">
        <v>1187</v>
      </c>
      <c r="AU81" s="74" t="s">
        <v>1613</v>
      </c>
    </row>
    <row r="82" spans="1:47" hidden="1" x14ac:dyDescent="0.3">
      <c r="A82" s="76" t="s">
        <v>1614</v>
      </c>
      <c r="B82" s="76" t="s">
        <v>1154</v>
      </c>
      <c r="C82" s="76" t="s">
        <v>1615</v>
      </c>
      <c r="D82" s="76" t="s">
        <v>1615</v>
      </c>
      <c r="E82" s="76" t="s">
        <v>1542</v>
      </c>
      <c r="F82" s="76" t="s">
        <v>1608</v>
      </c>
      <c r="G82" s="76" t="s">
        <v>1187</v>
      </c>
      <c r="AU82" s="74" t="s">
        <v>1616</v>
      </c>
    </row>
    <row r="83" spans="1:47" hidden="1" x14ac:dyDescent="0.3">
      <c r="A83" s="76" t="s">
        <v>1547</v>
      </c>
      <c r="B83" s="76" t="s">
        <v>1155</v>
      </c>
      <c r="C83" s="76" t="s">
        <v>1617</v>
      </c>
      <c r="D83" s="76" t="s">
        <v>1617</v>
      </c>
      <c r="E83" s="76" t="s">
        <v>1383</v>
      </c>
      <c r="F83" s="76" t="s">
        <v>1538</v>
      </c>
      <c r="G83" s="76" t="s">
        <v>5</v>
      </c>
      <c r="AU83" s="74" t="s">
        <v>1618</v>
      </c>
    </row>
    <row r="84" spans="1:47" hidden="1" x14ac:dyDescent="0.3">
      <c r="A84" s="76" t="s">
        <v>1619</v>
      </c>
      <c r="B84" s="76" t="s">
        <v>1620</v>
      </c>
      <c r="C84" s="76" t="s">
        <v>1621</v>
      </c>
      <c r="D84" s="76" t="s">
        <v>1621</v>
      </c>
      <c r="E84" s="76" t="s">
        <v>1542</v>
      </c>
      <c r="F84" s="76" t="s">
        <v>1543</v>
      </c>
      <c r="G84" s="76" t="s">
        <v>1180</v>
      </c>
      <c r="AU84" s="74" t="s">
        <v>1622</v>
      </c>
    </row>
    <row r="85" spans="1:47" hidden="1" x14ac:dyDescent="0.3">
      <c r="A85" s="76" t="s">
        <v>1623</v>
      </c>
      <c r="B85" s="76" t="s">
        <v>1156</v>
      </c>
      <c r="C85" s="76" t="s">
        <v>1624</v>
      </c>
      <c r="D85" s="76" t="s">
        <v>1624</v>
      </c>
      <c r="E85" s="76" t="s">
        <v>1542</v>
      </c>
      <c r="F85" s="76" t="s">
        <v>1625</v>
      </c>
      <c r="G85" s="76" t="s">
        <v>1193</v>
      </c>
      <c r="AU85" s="74" t="s">
        <v>1626</v>
      </c>
    </row>
    <row r="86" spans="1:47" hidden="1" x14ac:dyDescent="0.3">
      <c r="A86" s="76" t="s">
        <v>1627</v>
      </c>
      <c r="B86" s="76" t="s">
        <v>1157</v>
      </c>
      <c r="C86" s="76" t="s">
        <v>1628</v>
      </c>
      <c r="D86" s="76" t="s">
        <v>1628</v>
      </c>
      <c r="E86" s="76" t="s">
        <v>1542</v>
      </c>
      <c r="F86" s="76" t="s">
        <v>1629</v>
      </c>
      <c r="G86" s="76" t="s">
        <v>1195</v>
      </c>
      <c r="AU86" s="74" t="s">
        <v>1630</v>
      </c>
    </row>
    <row r="87" spans="1:47" hidden="1" x14ac:dyDescent="0.3">
      <c r="A87" s="76" t="s">
        <v>1631</v>
      </c>
      <c r="B87" s="76" t="s">
        <v>1158</v>
      </c>
      <c r="C87" s="76" t="s">
        <v>1632</v>
      </c>
      <c r="D87" s="76" t="s">
        <v>1632</v>
      </c>
      <c r="E87" s="76" t="s">
        <v>1542</v>
      </c>
      <c r="F87" s="76" t="s">
        <v>1633</v>
      </c>
      <c r="G87" s="76" t="s">
        <v>1208</v>
      </c>
      <c r="AU87" s="74" t="s">
        <v>1634</v>
      </c>
    </row>
    <row r="88" spans="1:47" hidden="1" x14ac:dyDescent="0.3">
      <c r="A88" s="76" t="s">
        <v>1635</v>
      </c>
      <c r="B88" s="76" t="s">
        <v>1227</v>
      </c>
      <c r="C88" s="76" t="s">
        <v>1636</v>
      </c>
      <c r="D88" s="76" t="s">
        <v>1636</v>
      </c>
      <c r="E88" s="76" t="s">
        <v>1368</v>
      </c>
      <c r="F88" s="76" t="s">
        <v>1538</v>
      </c>
      <c r="G88" s="76" t="s">
        <v>5</v>
      </c>
      <c r="AU88" s="74" t="s">
        <v>1637</v>
      </c>
    </row>
    <row r="89" spans="1:47" hidden="1" x14ac:dyDescent="0.3">
      <c r="A89" s="76" t="s">
        <v>1638</v>
      </c>
      <c r="B89" s="76" t="s">
        <v>1159</v>
      </c>
      <c r="C89" s="76" t="s">
        <v>1639</v>
      </c>
      <c r="D89" s="76" t="s">
        <v>1639</v>
      </c>
      <c r="E89" s="76" t="s">
        <v>1542</v>
      </c>
      <c r="F89" s="76" t="s">
        <v>1578</v>
      </c>
      <c r="G89" s="76" t="s">
        <v>1218</v>
      </c>
      <c r="AU89" s="74" t="s">
        <v>1640</v>
      </c>
    </row>
    <row r="90" spans="1:47" hidden="1" x14ac:dyDescent="0.3">
      <c r="A90" s="76" t="s">
        <v>1641</v>
      </c>
      <c r="B90" s="76" t="s">
        <v>1160</v>
      </c>
      <c r="C90" s="76" t="s">
        <v>1642</v>
      </c>
      <c r="D90" s="76" t="s">
        <v>1642</v>
      </c>
      <c r="E90" s="76" t="s">
        <v>1383</v>
      </c>
      <c r="F90" s="76" t="s">
        <v>1538</v>
      </c>
      <c r="G90" s="76" t="s">
        <v>5</v>
      </c>
      <c r="AU90" s="74" t="s">
        <v>1643</v>
      </c>
    </row>
    <row r="91" spans="1:47" hidden="1" x14ac:dyDescent="0.3">
      <c r="A91" s="76" t="s">
        <v>1644</v>
      </c>
      <c r="B91" s="76" t="s">
        <v>1161</v>
      </c>
      <c r="C91" s="76" t="s">
        <v>1645</v>
      </c>
      <c r="D91" s="76" t="s">
        <v>1645</v>
      </c>
      <c r="E91" s="76" t="s">
        <v>1542</v>
      </c>
      <c r="F91" s="76" t="s">
        <v>1574</v>
      </c>
      <c r="G91" s="76" t="s">
        <v>1199</v>
      </c>
      <c r="AU91" s="74" t="s">
        <v>1646</v>
      </c>
    </row>
    <row r="92" spans="1:47" hidden="1" x14ac:dyDescent="0.3">
      <c r="A92" s="76" t="s">
        <v>1647</v>
      </c>
      <c r="B92" s="76" t="s">
        <v>1162</v>
      </c>
      <c r="C92" s="76" t="s">
        <v>1648</v>
      </c>
      <c r="D92" s="76" t="s">
        <v>1648</v>
      </c>
      <c r="E92" s="76" t="s">
        <v>1542</v>
      </c>
      <c r="F92" s="76" t="s">
        <v>1649</v>
      </c>
      <c r="G92" s="76" t="s">
        <v>1202</v>
      </c>
      <c r="AU92" s="74" t="s">
        <v>1650</v>
      </c>
    </row>
    <row r="93" spans="1:47" hidden="1" x14ac:dyDescent="0.3">
      <c r="A93" s="76" t="s">
        <v>1651</v>
      </c>
      <c r="B93" s="76" t="s">
        <v>1163</v>
      </c>
      <c r="C93" s="76" t="s">
        <v>1652</v>
      </c>
      <c r="D93" s="76" t="s">
        <v>1652</v>
      </c>
      <c r="E93" s="76" t="s">
        <v>1542</v>
      </c>
      <c r="F93" s="76" t="s">
        <v>1649</v>
      </c>
      <c r="G93" s="76" t="s">
        <v>1202</v>
      </c>
      <c r="AU93" s="74" t="s">
        <v>1653</v>
      </c>
    </row>
    <row r="94" spans="1:47" hidden="1" x14ac:dyDescent="0.3">
      <c r="A94" s="76" t="s">
        <v>1654</v>
      </c>
      <c r="B94" s="76" t="s">
        <v>1164</v>
      </c>
      <c r="C94" s="76" t="s">
        <v>1655</v>
      </c>
      <c r="D94" s="76" t="s">
        <v>1655</v>
      </c>
      <c r="E94" s="76" t="s">
        <v>1656</v>
      </c>
      <c r="F94" s="76" t="s">
        <v>1582</v>
      </c>
      <c r="G94" s="76" t="s">
        <v>1216</v>
      </c>
      <c r="AU94" s="74" t="s">
        <v>1657</v>
      </c>
    </row>
    <row r="95" spans="1:47" hidden="1" x14ac:dyDescent="0.3">
      <c r="A95" s="76" t="s">
        <v>1658</v>
      </c>
      <c r="B95" s="76" t="s">
        <v>1165</v>
      </c>
      <c r="C95" s="76" t="s">
        <v>1659</v>
      </c>
      <c r="D95" s="76" t="s">
        <v>1659</v>
      </c>
      <c r="E95" s="76" t="s">
        <v>1542</v>
      </c>
      <c r="F95" s="76" t="s">
        <v>1578</v>
      </c>
      <c r="G95" s="76" t="s">
        <v>1218</v>
      </c>
      <c r="AU95" s="74" t="s">
        <v>1660</v>
      </c>
    </row>
    <row r="96" spans="1:47" hidden="1" x14ac:dyDescent="0.3">
      <c r="A96" s="76" t="s">
        <v>1661</v>
      </c>
      <c r="B96" s="76" t="s">
        <v>1166</v>
      </c>
      <c r="C96" s="76" t="s">
        <v>1662</v>
      </c>
      <c r="D96" s="76" t="s">
        <v>1662</v>
      </c>
      <c r="E96" s="76" t="s">
        <v>1542</v>
      </c>
      <c r="F96" s="76" t="s">
        <v>1578</v>
      </c>
      <c r="G96" s="76" t="s">
        <v>1218</v>
      </c>
      <c r="AU96" s="74" t="s">
        <v>1663</v>
      </c>
    </row>
    <row r="97" spans="1:47" hidden="1" x14ac:dyDescent="0.3">
      <c r="A97" s="76" t="s">
        <v>1664</v>
      </c>
      <c r="B97" s="76" t="s">
        <v>1167</v>
      </c>
      <c r="C97" s="76" t="s">
        <v>1665</v>
      </c>
      <c r="D97" s="76" t="s">
        <v>1665</v>
      </c>
      <c r="E97" s="76" t="s">
        <v>1542</v>
      </c>
      <c r="F97" s="76" t="s">
        <v>1582</v>
      </c>
      <c r="G97" s="76" t="s">
        <v>1216</v>
      </c>
      <c r="AU97" s="74" t="s">
        <v>1666</v>
      </c>
    </row>
    <row r="98" spans="1:47" hidden="1" x14ac:dyDescent="0.3">
      <c r="A98" s="76" t="s">
        <v>1667</v>
      </c>
      <c r="B98" s="76" t="s">
        <v>1168</v>
      </c>
      <c r="C98" s="76" t="s">
        <v>1668</v>
      </c>
      <c r="D98" s="76" t="s">
        <v>1668</v>
      </c>
      <c r="E98" s="76" t="s">
        <v>1542</v>
      </c>
      <c r="F98" s="76" t="s">
        <v>1578</v>
      </c>
      <c r="G98" s="76" t="s">
        <v>1218</v>
      </c>
      <c r="AU98" s="74" t="s">
        <v>1669</v>
      </c>
    </row>
    <row r="99" spans="1:47" hidden="1" x14ac:dyDescent="0.3">
      <c r="A99" s="76" t="s">
        <v>1670</v>
      </c>
      <c r="B99" s="76" t="s">
        <v>1169</v>
      </c>
      <c r="C99" s="76" t="s">
        <v>1671</v>
      </c>
      <c r="D99" s="76" t="s">
        <v>1671</v>
      </c>
      <c r="E99" s="76" t="s">
        <v>1383</v>
      </c>
      <c r="F99" s="76" t="s">
        <v>1538</v>
      </c>
      <c r="G99" s="76" t="s">
        <v>5</v>
      </c>
      <c r="AU99" s="74" t="s">
        <v>1672</v>
      </c>
    </row>
    <row r="100" spans="1:47" hidden="1" x14ac:dyDescent="0.3">
      <c r="A100" s="76" t="s">
        <v>1673</v>
      </c>
      <c r="B100" s="76" t="s">
        <v>1170</v>
      </c>
      <c r="C100" s="76" t="s">
        <v>1674</v>
      </c>
      <c r="D100" s="76" t="s">
        <v>1674</v>
      </c>
      <c r="E100" s="76" t="s">
        <v>1542</v>
      </c>
      <c r="F100" s="76" t="s">
        <v>1670</v>
      </c>
      <c r="G100" s="76" t="s">
        <v>1169</v>
      </c>
      <c r="AU100" s="74" t="s">
        <v>1675</v>
      </c>
    </row>
    <row r="101" spans="1:47" hidden="1" x14ac:dyDescent="0.3">
      <c r="A101" s="76" t="s">
        <v>1676</v>
      </c>
      <c r="B101" s="76" t="s">
        <v>1171</v>
      </c>
      <c r="C101" s="76" t="s">
        <v>1677</v>
      </c>
      <c r="D101" s="76" t="s">
        <v>1677</v>
      </c>
      <c r="E101" s="76" t="s">
        <v>1542</v>
      </c>
      <c r="F101" s="76" t="s">
        <v>1670</v>
      </c>
      <c r="G101" s="76" t="s">
        <v>1169</v>
      </c>
      <c r="AU101" s="74" t="s">
        <v>1678</v>
      </c>
    </row>
    <row r="102" spans="1:47" hidden="1" x14ac:dyDescent="0.3">
      <c r="A102" s="76" t="s">
        <v>1679</v>
      </c>
      <c r="B102" s="76" t="s">
        <v>1172</v>
      </c>
      <c r="C102" s="76" t="s">
        <v>1680</v>
      </c>
      <c r="D102" s="76" t="s">
        <v>1680</v>
      </c>
      <c r="E102" s="76" t="s">
        <v>1542</v>
      </c>
      <c r="F102" s="76" t="s">
        <v>1578</v>
      </c>
      <c r="G102" s="76" t="s">
        <v>1218</v>
      </c>
      <c r="AU102" s="74" t="s">
        <v>1681</v>
      </c>
    </row>
    <row r="103" spans="1:47" hidden="1" x14ac:dyDescent="0.3">
      <c r="A103" s="76" t="s">
        <v>1682</v>
      </c>
      <c r="B103" s="76" t="s">
        <v>1173</v>
      </c>
      <c r="C103" s="76" t="s">
        <v>1683</v>
      </c>
      <c r="D103" s="76" t="s">
        <v>1683</v>
      </c>
      <c r="E103" s="76" t="s">
        <v>1542</v>
      </c>
      <c r="F103" s="76" t="s">
        <v>1582</v>
      </c>
      <c r="G103" s="76" t="s">
        <v>1216</v>
      </c>
      <c r="AU103" s="74" t="s">
        <v>1684</v>
      </c>
    </row>
    <row r="104" spans="1:47" hidden="1" x14ac:dyDescent="0.3">
      <c r="A104" s="76" t="s">
        <v>1685</v>
      </c>
      <c r="B104" s="76" t="s">
        <v>1174</v>
      </c>
      <c r="C104" s="76" t="s">
        <v>1686</v>
      </c>
      <c r="D104" s="76" t="s">
        <v>1686</v>
      </c>
      <c r="E104" s="76" t="s">
        <v>1542</v>
      </c>
      <c r="F104" s="76" t="s">
        <v>1578</v>
      </c>
      <c r="G104" s="76" t="s">
        <v>1218</v>
      </c>
      <c r="AU104" s="74" t="s">
        <v>1687</v>
      </c>
    </row>
    <row r="105" spans="1:47" hidden="1" x14ac:dyDescent="0.3">
      <c r="A105" s="76" t="s">
        <v>1688</v>
      </c>
      <c r="B105" s="76" t="s">
        <v>1689</v>
      </c>
      <c r="C105" s="76" t="s">
        <v>1690</v>
      </c>
      <c r="D105" s="76" t="s">
        <v>1690</v>
      </c>
      <c r="E105" s="76" t="s">
        <v>1368</v>
      </c>
      <c r="F105" s="76" t="s">
        <v>1538</v>
      </c>
      <c r="G105" s="76" t="s">
        <v>5</v>
      </c>
      <c r="AU105" s="74" t="s">
        <v>1691</v>
      </c>
    </row>
    <row r="106" spans="1:47" hidden="1" x14ac:dyDescent="0.3">
      <c r="A106" s="76" t="s">
        <v>1692</v>
      </c>
      <c r="B106" s="76" t="s">
        <v>1693</v>
      </c>
      <c r="C106" s="76" t="s">
        <v>1694</v>
      </c>
      <c r="D106" s="76" t="s">
        <v>1694</v>
      </c>
      <c r="E106" s="76" t="s">
        <v>1368</v>
      </c>
      <c r="F106" s="76" t="s">
        <v>1688</v>
      </c>
      <c r="G106" s="76" t="s">
        <v>1689</v>
      </c>
      <c r="AU106" s="74" t="s">
        <v>1695</v>
      </c>
    </row>
    <row r="107" spans="1:47" hidden="1" x14ac:dyDescent="0.3">
      <c r="A107" s="76" t="s">
        <v>1696</v>
      </c>
      <c r="B107" s="76" t="s">
        <v>1697</v>
      </c>
      <c r="C107" s="76" t="s">
        <v>1698</v>
      </c>
      <c r="D107" s="76" t="s">
        <v>1698</v>
      </c>
      <c r="E107" s="76" t="s">
        <v>1368</v>
      </c>
      <c r="F107" s="76" t="s">
        <v>1688</v>
      </c>
      <c r="G107" s="76" t="s">
        <v>1689</v>
      </c>
      <c r="AU107" s="74" t="s">
        <v>1699</v>
      </c>
    </row>
    <row r="108" spans="1:47" hidden="1" x14ac:dyDescent="0.3">
      <c r="A108" s="76" t="s">
        <v>1700</v>
      </c>
      <c r="B108" s="76" t="s">
        <v>1701</v>
      </c>
      <c r="C108" s="76" t="s">
        <v>1702</v>
      </c>
      <c r="D108" s="76" t="s">
        <v>1702</v>
      </c>
      <c r="E108" s="76" t="s">
        <v>1368</v>
      </c>
      <c r="F108" s="76" t="s">
        <v>1688</v>
      </c>
      <c r="G108" s="76" t="s">
        <v>1689</v>
      </c>
      <c r="AU108" s="74" t="s">
        <v>1703</v>
      </c>
    </row>
    <row r="109" spans="1:47" hidden="1" x14ac:dyDescent="0.3">
      <c r="A109" s="76" t="s">
        <v>1704</v>
      </c>
      <c r="B109" s="76" t="s">
        <v>1705</v>
      </c>
      <c r="C109" s="76" t="s">
        <v>1706</v>
      </c>
      <c r="D109" s="76" t="s">
        <v>1706</v>
      </c>
      <c r="E109" s="76" t="s">
        <v>1368</v>
      </c>
      <c r="F109" s="76" t="s">
        <v>1688</v>
      </c>
      <c r="G109" s="76" t="s">
        <v>1689</v>
      </c>
      <c r="AU109" s="74" t="s">
        <v>1707</v>
      </c>
    </row>
    <row r="110" spans="1:47" hidden="1" x14ac:dyDescent="0.3">
      <c r="A110" s="76" t="s">
        <v>1708</v>
      </c>
      <c r="B110" s="76" t="s">
        <v>1709</v>
      </c>
      <c r="C110" s="76" t="s">
        <v>1710</v>
      </c>
      <c r="D110" s="76" t="s">
        <v>1710</v>
      </c>
      <c r="E110" s="76" t="s">
        <v>1368</v>
      </c>
      <c r="F110" s="76" t="s">
        <v>1688</v>
      </c>
      <c r="G110" s="76" t="s">
        <v>1689</v>
      </c>
      <c r="AU110" s="74" t="s">
        <v>1711</v>
      </c>
    </row>
    <row r="111" spans="1:47" hidden="1" x14ac:dyDescent="0.3">
      <c r="A111" s="76" t="s">
        <v>1712</v>
      </c>
      <c r="B111" s="76" t="s">
        <v>1713</v>
      </c>
      <c r="C111" s="76" t="s">
        <v>1714</v>
      </c>
      <c r="D111" s="76" t="s">
        <v>1714</v>
      </c>
      <c r="E111" s="76" t="s">
        <v>1368</v>
      </c>
      <c r="F111" s="76" t="s">
        <v>1688</v>
      </c>
      <c r="G111" s="76" t="s">
        <v>1689</v>
      </c>
      <c r="AU111" s="74" t="s">
        <v>1715</v>
      </c>
    </row>
    <row r="112" spans="1:47" hidden="1" x14ac:dyDescent="0.3">
      <c r="A112" s="76" t="s">
        <v>1716</v>
      </c>
      <c r="B112" s="76" t="s">
        <v>1717</v>
      </c>
      <c r="C112" s="76" t="s">
        <v>1718</v>
      </c>
      <c r="D112" s="76" t="s">
        <v>1718</v>
      </c>
      <c r="E112" s="76" t="s">
        <v>1368</v>
      </c>
      <c r="F112" s="76" t="s">
        <v>1688</v>
      </c>
      <c r="G112" s="76" t="s">
        <v>1689</v>
      </c>
      <c r="AU112" s="74" t="s">
        <v>1719</v>
      </c>
    </row>
    <row r="113" spans="1:47" hidden="1" x14ac:dyDescent="0.3">
      <c r="A113" s="76" t="s">
        <v>1720</v>
      </c>
      <c r="B113" s="76" t="s">
        <v>1175</v>
      </c>
      <c r="C113" s="76" t="s">
        <v>1721</v>
      </c>
      <c r="D113" s="76" t="s">
        <v>1721</v>
      </c>
      <c r="E113" s="76" t="s">
        <v>1542</v>
      </c>
      <c r="F113" s="76" t="s">
        <v>1574</v>
      </c>
      <c r="G113" s="76" t="s">
        <v>1199</v>
      </c>
      <c r="AU113" s="74" t="s">
        <v>1722</v>
      </c>
    </row>
    <row r="114" spans="1:47" hidden="1" x14ac:dyDescent="0.3">
      <c r="A114" s="76" t="s">
        <v>1723</v>
      </c>
      <c r="B114" s="76" t="s">
        <v>1176</v>
      </c>
      <c r="C114" s="76" t="s">
        <v>1724</v>
      </c>
      <c r="D114" s="76" t="s">
        <v>1724</v>
      </c>
      <c r="E114" s="76" t="s">
        <v>1542</v>
      </c>
      <c r="F114" s="76" t="s">
        <v>1725</v>
      </c>
      <c r="G114" s="76" t="s">
        <v>1213</v>
      </c>
      <c r="AU114" s="74" t="s">
        <v>1726</v>
      </c>
    </row>
    <row r="115" spans="1:47" hidden="1" x14ac:dyDescent="0.3">
      <c r="A115" s="76" t="s">
        <v>1727</v>
      </c>
      <c r="B115" s="76" t="s">
        <v>1177</v>
      </c>
      <c r="C115" s="76" t="s">
        <v>1728</v>
      </c>
      <c r="D115" s="76" t="s">
        <v>1728</v>
      </c>
      <c r="E115" s="76" t="s">
        <v>1542</v>
      </c>
      <c r="F115" s="76" t="s">
        <v>1547</v>
      </c>
      <c r="G115" s="76" t="s">
        <v>1155</v>
      </c>
      <c r="AU115" s="74" t="s">
        <v>1729</v>
      </c>
    </row>
    <row r="116" spans="1:47" hidden="1" x14ac:dyDescent="0.3">
      <c r="A116" s="76" t="s">
        <v>1730</v>
      </c>
      <c r="B116" s="76" t="s">
        <v>1178</v>
      </c>
      <c r="C116" s="76" t="s">
        <v>1731</v>
      </c>
      <c r="D116" s="76" t="s">
        <v>1731</v>
      </c>
      <c r="E116" s="76" t="s">
        <v>1542</v>
      </c>
      <c r="F116" s="76" t="s">
        <v>1629</v>
      </c>
      <c r="G116" s="76" t="s">
        <v>1195</v>
      </c>
      <c r="AU116" s="74" t="s">
        <v>1732</v>
      </c>
    </row>
    <row r="117" spans="1:47" hidden="1" x14ac:dyDescent="0.3">
      <c r="A117" s="76" t="s">
        <v>1733</v>
      </c>
      <c r="B117" s="76" t="s">
        <v>1179</v>
      </c>
      <c r="C117" s="76" t="s">
        <v>1734</v>
      </c>
      <c r="D117" s="76" t="s">
        <v>1734</v>
      </c>
      <c r="E117" s="76" t="s">
        <v>1542</v>
      </c>
      <c r="F117" s="76" t="s">
        <v>1543</v>
      </c>
      <c r="G117" s="76" t="s">
        <v>1180</v>
      </c>
      <c r="AU117" s="74" t="s">
        <v>1735</v>
      </c>
    </row>
    <row r="118" spans="1:47" hidden="1" x14ac:dyDescent="0.3">
      <c r="A118" s="76" t="s">
        <v>1543</v>
      </c>
      <c r="B118" s="76" t="s">
        <v>1180</v>
      </c>
      <c r="C118" s="76" t="s">
        <v>1736</v>
      </c>
      <c r="D118" s="76" t="s">
        <v>1736</v>
      </c>
      <c r="E118" s="76" t="s">
        <v>1383</v>
      </c>
      <c r="F118" s="76" t="s">
        <v>1538</v>
      </c>
      <c r="G118" s="76" t="s">
        <v>5</v>
      </c>
      <c r="AU118" s="74" t="s">
        <v>1737</v>
      </c>
    </row>
    <row r="119" spans="1:47" hidden="1" x14ac:dyDescent="0.3">
      <c r="A119" s="76" t="s">
        <v>1738</v>
      </c>
      <c r="B119" s="76" t="s">
        <v>1181</v>
      </c>
      <c r="C119" s="76" t="s">
        <v>1739</v>
      </c>
      <c r="D119" s="76" t="s">
        <v>1739</v>
      </c>
      <c r="E119" s="76" t="s">
        <v>1542</v>
      </c>
      <c r="F119" s="76" t="s">
        <v>1608</v>
      </c>
      <c r="G119" s="76" t="s">
        <v>1187</v>
      </c>
      <c r="AU119" s="74" t="s">
        <v>1740</v>
      </c>
    </row>
    <row r="120" spans="1:47" hidden="1" x14ac:dyDescent="0.3">
      <c r="A120" s="76" t="s">
        <v>1741</v>
      </c>
      <c r="B120" s="76" t="s">
        <v>1182</v>
      </c>
      <c r="C120" s="76" t="s">
        <v>1742</v>
      </c>
      <c r="D120" s="76" t="s">
        <v>1742</v>
      </c>
      <c r="E120" s="76" t="s">
        <v>1383</v>
      </c>
      <c r="F120" s="76" t="s">
        <v>1538</v>
      </c>
      <c r="G120" s="76" t="s">
        <v>5</v>
      </c>
      <c r="AU120" s="74" t="s">
        <v>1743</v>
      </c>
    </row>
    <row r="121" spans="1:47" hidden="1" x14ac:dyDescent="0.3">
      <c r="A121" s="76" t="s">
        <v>1744</v>
      </c>
      <c r="B121" s="76" t="s">
        <v>1183</v>
      </c>
      <c r="C121" s="76" t="s">
        <v>1745</v>
      </c>
      <c r="D121" s="76" t="s">
        <v>1745</v>
      </c>
      <c r="E121" s="76" t="s">
        <v>1542</v>
      </c>
      <c r="F121" s="76" t="s">
        <v>1543</v>
      </c>
      <c r="G121" s="76" t="s">
        <v>1180</v>
      </c>
      <c r="AU121" s="74" t="s">
        <v>1746</v>
      </c>
    </row>
    <row r="122" spans="1:47" hidden="1" x14ac:dyDescent="0.3">
      <c r="A122" s="76" t="s">
        <v>1747</v>
      </c>
      <c r="B122" s="76" t="s">
        <v>1184</v>
      </c>
      <c r="C122" s="76" t="s">
        <v>1748</v>
      </c>
      <c r="D122" s="76" t="s">
        <v>1748</v>
      </c>
      <c r="E122" s="76" t="s">
        <v>1542</v>
      </c>
      <c r="F122" s="76" t="s">
        <v>1741</v>
      </c>
      <c r="G122" s="76" t="s">
        <v>1182</v>
      </c>
      <c r="AU122" s="74" t="s">
        <v>1749</v>
      </c>
    </row>
    <row r="123" spans="1:47" hidden="1" x14ac:dyDescent="0.3">
      <c r="A123" s="76" t="s">
        <v>1750</v>
      </c>
      <c r="B123" s="76" t="s">
        <v>1751</v>
      </c>
      <c r="C123" s="76" t="s">
        <v>1752</v>
      </c>
      <c r="D123" s="76" t="s">
        <v>1752</v>
      </c>
      <c r="E123" s="76" t="s">
        <v>1368</v>
      </c>
      <c r="F123" s="76" t="s">
        <v>1538</v>
      </c>
      <c r="G123" s="76" t="s">
        <v>5</v>
      </c>
      <c r="AU123" s="74" t="s">
        <v>1753</v>
      </c>
    </row>
    <row r="124" spans="1:47" hidden="1" x14ac:dyDescent="0.3">
      <c r="A124" s="76" t="s">
        <v>1754</v>
      </c>
      <c r="B124" s="76" t="s">
        <v>1185</v>
      </c>
      <c r="C124" s="76" t="s">
        <v>1755</v>
      </c>
      <c r="D124" s="76" t="s">
        <v>1755</v>
      </c>
      <c r="E124" s="76" t="s">
        <v>1542</v>
      </c>
      <c r="F124" s="76" t="s">
        <v>1578</v>
      </c>
      <c r="G124" s="76" t="s">
        <v>1218</v>
      </c>
      <c r="AU124" s="74" t="s">
        <v>1756</v>
      </c>
    </row>
    <row r="125" spans="1:47" hidden="1" x14ac:dyDescent="0.3">
      <c r="A125" s="76" t="s">
        <v>1757</v>
      </c>
      <c r="B125" s="76" t="s">
        <v>1186</v>
      </c>
      <c r="C125" s="76" t="s">
        <v>1758</v>
      </c>
      <c r="D125" s="76" t="s">
        <v>1758</v>
      </c>
      <c r="E125" s="76" t="s">
        <v>1383</v>
      </c>
      <c r="F125" s="76" t="s">
        <v>1538</v>
      </c>
      <c r="G125" s="76" t="s">
        <v>5</v>
      </c>
      <c r="AU125" s="74" t="s">
        <v>1759</v>
      </c>
    </row>
    <row r="126" spans="1:47" hidden="1" x14ac:dyDescent="0.3">
      <c r="A126" s="76" t="s">
        <v>1608</v>
      </c>
      <c r="B126" s="76" t="s">
        <v>1187</v>
      </c>
      <c r="C126" s="76" t="s">
        <v>1760</v>
      </c>
      <c r="D126" s="76" t="s">
        <v>1760</v>
      </c>
      <c r="E126" s="76" t="s">
        <v>1383</v>
      </c>
      <c r="F126" s="76" t="s">
        <v>1538</v>
      </c>
      <c r="G126" s="76" t="s">
        <v>5</v>
      </c>
      <c r="AU126" s="74" t="s">
        <v>1761</v>
      </c>
    </row>
    <row r="127" spans="1:47" hidden="1" x14ac:dyDescent="0.3">
      <c r="A127" s="76" t="s">
        <v>1762</v>
      </c>
      <c r="B127" s="76" t="s">
        <v>1188</v>
      </c>
      <c r="C127" s="76" t="s">
        <v>1763</v>
      </c>
      <c r="D127" s="76" t="s">
        <v>1763</v>
      </c>
      <c r="E127" s="76" t="s">
        <v>1383</v>
      </c>
      <c r="F127" s="76" t="s">
        <v>1538</v>
      </c>
      <c r="G127" s="76" t="s">
        <v>5</v>
      </c>
      <c r="AU127" s="74" t="s">
        <v>1764</v>
      </c>
    </row>
    <row r="128" spans="1:47" hidden="1" x14ac:dyDescent="0.3">
      <c r="A128" s="76" t="s">
        <v>1765</v>
      </c>
      <c r="B128" s="76" t="s">
        <v>1225</v>
      </c>
      <c r="C128" s="76" t="s">
        <v>1766</v>
      </c>
      <c r="D128" s="76" t="s">
        <v>1766</v>
      </c>
      <c r="E128" s="76" t="s">
        <v>1542</v>
      </c>
      <c r="F128" s="76" t="s">
        <v>1762</v>
      </c>
      <c r="G128" s="76" t="s">
        <v>1188</v>
      </c>
      <c r="AU128" s="74" t="s">
        <v>1767</v>
      </c>
    </row>
    <row r="129" spans="1:47" hidden="1" x14ac:dyDescent="0.3">
      <c r="A129" s="76" t="s">
        <v>1768</v>
      </c>
      <c r="B129" s="76" t="s">
        <v>1224</v>
      </c>
      <c r="C129" s="76" t="s">
        <v>1769</v>
      </c>
      <c r="D129" s="76" t="s">
        <v>1769</v>
      </c>
      <c r="E129" s="76" t="s">
        <v>1542</v>
      </c>
      <c r="F129" s="76" t="s">
        <v>1762</v>
      </c>
      <c r="G129" s="76" t="s">
        <v>1188</v>
      </c>
      <c r="AU129" s="74" t="s">
        <v>1770</v>
      </c>
    </row>
    <row r="130" spans="1:47" hidden="1" x14ac:dyDescent="0.3">
      <c r="A130" s="76" t="s">
        <v>1771</v>
      </c>
      <c r="B130" s="76" t="s">
        <v>1189</v>
      </c>
      <c r="C130" s="76" t="s">
        <v>1772</v>
      </c>
      <c r="D130" s="76" t="s">
        <v>1772</v>
      </c>
      <c r="E130" s="76" t="s">
        <v>1542</v>
      </c>
      <c r="F130" s="76" t="s">
        <v>1641</v>
      </c>
      <c r="G130" s="76" t="s">
        <v>1160</v>
      </c>
      <c r="AU130" s="74" t="s">
        <v>1773</v>
      </c>
    </row>
    <row r="131" spans="1:47" hidden="1" x14ac:dyDescent="0.3">
      <c r="A131" s="76" t="s">
        <v>1774</v>
      </c>
      <c r="B131" s="76" t="s">
        <v>1190</v>
      </c>
      <c r="C131" s="76" t="s">
        <v>1775</v>
      </c>
      <c r="D131" s="76" t="s">
        <v>1775</v>
      </c>
      <c r="E131" s="76" t="s">
        <v>1542</v>
      </c>
      <c r="F131" s="76" t="s">
        <v>1641</v>
      </c>
      <c r="G131" s="76" t="s">
        <v>1160</v>
      </c>
      <c r="AU131" s="74" t="s">
        <v>1776</v>
      </c>
    </row>
    <row r="132" spans="1:47" hidden="1" x14ac:dyDescent="0.3">
      <c r="A132" s="76" t="s">
        <v>1777</v>
      </c>
      <c r="B132" s="76" t="s">
        <v>1191</v>
      </c>
      <c r="C132" s="76" t="s">
        <v>1778</v>
      </c>
      <c r="D132" s="76" t="s">
        <v>1778</v>
      </c>
      <c r="E132" s="76" t="s">
        <v>1542</v>
      </c>
      <c r="F132" s="76" t="s">
        <v>1641</v>
      </c>
      <c r="G132" s="76" t="s">
        <v>1160</v>
      </c>
      <c r="AU132" s="74" t="s">
        <v>1779</v>
      </c>
    </row>
    <row r="133" spans="1:47" hidden="1" x14ac:dyDescent="0.3">
      <c r="A133" s="76" t="s">
        <v>1780</v>
      </c>
      <c r="B133" s="76" t="s">
        <v>1192</v>
      </c>
      <c r="C133" s="76" t="s">
        <v>1781</v>
      </c>
      <c r="D133" s="76" t="s">
        <v>1781</v>
      </c>
      <c r="E133" s="76" t="s">
        <v>1542</v>
      </c>
      <c r="F133" s="76" t="s">
        <v>1641</v>
      </c>
      <c r="G133" s="76" t="s">
        <v>1160</v>
      </c>
      <c r="AU133" s="74" t="s">
        <v>1782</v>
      </c>
    </row>
    <row r="134" spans="1:47" hidden="1" x14ac:dyDescent="0.3">
      <c r="A134" s="76" t="s">
        <v>1625</v>
      </c>
      <c r="B134" s="76" t="s">
        <v>1193</v>
      </c>
      <c r="C134" s="76" t="s">
        <v>1783</v>
      </c>
      <c r="D134" s="76" t="s">
        <v>1783</v>
      </c>
      <c r="E134" s="76" t="s">
        <v>1383</v>
      </c>
      <c r="F134" s="76" t="s">
        <v>1538</v>
      </c>
      <c r="G134" s="76" t="s">
        <v>5</v>
      </c>
      <c r="AU134" s="74" t="s">
        <v>1784</v>
      </c>
    </row>
    <row r="135" spans="1:47" hidden="1" x14ac:dyDescent="0.3">
      <c r="A135" s="76" t="s">
        <v>1785</v>
      </c>
      <c r="B135" s="76" t="s">
        <v>1194</v>
      </c>
      <c r="C135" s="76" t="s">
        <v>1786</v>
      </c>
      <c r="D135" s="76" t="s">
        <v>1786</v>
      </c>
      <c r="E135" s="76" t="s">
        <v>1542</v>
      </c>
      <c r="F135" s="76" t="s">
        <v>1570</v>
      </c>
      <c r="G135" s="76" t="s">
        <v>1206</v>
      </c>
      <c r="AU135" s="74" t="s">
        <v>1787</v>
      </c>
    </row>
    <row r="136" spans="1:47" hidden="1" x14ac:dyDescent="0.3">
      <c r="A136" s="76" t="s">
        <v>1629</v>
      </c>
      <c r="B136" s="76" t="s">
        <v>1195</v>
      </c>
      <c r="C136" s="76" t="s">
        <v>1788</v>
      </c>
      <c r="D136" s="76" t="s">
        <v>1788</v>
      </c>
      <c r="E136" s="76" t="s">
        <v>1383</v>
      </c>
      <c r="F136" s="76" t="s">
        <v>1538</v>
      </c>
      <c r="G136" s="76" t="s">
        <v>5</v>
      </c>
      <c r="AU136" s="74" t="s">
        <v>1789</v>
      </c>
    </row>
    <row r="137" spans="1:47" hidden="1" x14ac:dyDescent="0.3">
      <c r="A137" s="76" t="s">
        <v>1790</v>
      </c>
      <c r="B137" s="76" t="s">
        <v>1196</v>
      </c>
      <c r="C137" s="76" t="s">
        <v>1791</v>
      </c>
      <c r="D137" s="76" t="s">
        <v>1791</v>
      </c>
      <c r="E137" s="76" t="s">
        <v>1542</v>
      </c>
      <c r="F137" s="76" t="s">
        <v>1741</v>
      </c>
      <c r="G137" s="76" t="s">
        <v>1182</v>
      </c>
      <c r="AU137" s="74" t="s">
        <v>1792</v>
      </c>
    </row>
    <row r="138" spans="1:47" hidden="1" x14ac:dyDescent="0.3">
      <c r="A138" s="76" t="s">
        <v>1793</v>
      </c>
      <c r="B138" s="76" t="s">
        <v>1197</v>
      </c>
      <c r="C138" s="76" t="s">
        <v>1794</v>
      </c>
      <c r="D138" s="76" t="s">
        <v>1794</v>
      </c>
      <c r="E138" s="76" t="s">
        <v>1542</v>
      </c>
      <c r="F138" s="76" t="s">
        <v>1547</v>
      </c>
      <c r="G138" s="76" t="s">
        <v>1155</v>
      </c>
      <c r="AU138" s="74" t="s">
        <v>1795</v>
      </c>
    </row>
    <row r="139" spans="1:47" hidden="1" x14ac:dyDescent="0.3">
      <c r="A139" s="76" t="s">
        <v>1796</v>
      </c>
      <c r="B139" s="76" t="s">
        <v>1198</v>
      </c>
      <c r="C139" s="76" t="s">
        <v>1797</v>
      </c>
      <c r="D139" s="76" t="s">
        <v>1797</v>
      </c>
      <c r="E139" s="76" t="s">
        <v>1542</v>
      </c>
      <c r="F139" s="76" t="s">
        <v>1578</v>
      </c>
      <c r="G139" s="76" t="s">
        <v>1218</v>
      </c>
      <c r="AU139" s="74" t="s">
        <v>1798</v>
      </c>
    </row>
    <row r="140" spans="1:47" hidden="1" x14ac:dyDescent="0.3">
      <c r="A140" s="76" t="s">
        <v>1574</v>
      </c>
      <c r="B140" s="76" t="s">
        <v>1199</v>
      </c>
      <c r="C140" s="76" t="s">
        <v>1799</v>
      </c>
      <c r="D140" s="76" t="s">
        <v>1799</v>
      </c>
      <c r="E140" s="76" t="s">
        <v>1383</v>
      </c>
      <c r="F140" s="76" t="s">
        <v>1538</v>
      </c>
      <c r="G140" s="76" t="s">
        <v>5</v>
      </c>
      <c r="AU140" s="74" t="s">
        <v>1800</v>
      </c>
    </row>
    <row r="141" spans="1:47" hidden="1" x14ac:dyDescent="0.3">
      <c r="A141" s="76" t="s">
        <v>1801</v>
      </c>
      <c r="B141" s="76" t="s">
        <v>1200</v>
      </c>
      <c r="C141" s="76" t="s">
        <v>1802</v>
      </c>
      <c r="D141" s="76" t="s">
        <v>1802</v>
      </c>
      <c r="E141" s="76" t="s">
        <v>1542</v>
      </c>
      <c r="F141" s="76" t="s">
        <v>1633</v>
      </c>
      <c r="G141" s="76" t="s">
        <v>1208</v>
      </c>
      <c r="AU141" s="74" t="s">
        <v>1803</v>
      </c>
    </row>
    <row r="142" spans="1:47" hidden="1" x14ac:dyDescent="0.3">
      <c r="A142" s="76" t="s">
        <v>1804</v>
      </c>
      <c r="B142" s="76" t="s">
        <v>1201</v>
      </c>
      <c r="C142" s="76" t="s">
        <v>1805</v>
      </c>
      <c r="D142" s="76" t="s">
        <v>1805</v>
      </c>
      <c r="E142" s="76" t="s">
        <v>1542</v>
      </c>
      <c r="F142" s="76" t="s">
        <v>1570</v>
      </c>
      <c r="G142" s="76" t="s">
        <v>1206</v>
      </c>
      <c r="AU142" s="74" t="s">
        <v>1806</v>
      </c>
    </row>
    <row r="143" spans="1:47" hidden="1" x14ac:dyDescent="0.3">
      <c r="A143" s="76" t="s">
        <v>1649</v>
      </c>
      <c r="B143" s="76" t="s">
        <v>1202</v>
      </c>
      <c r="C143" s="76" t="s">
        <v>1807</v>
      </c>
      <c r="D143" s="76" t="s">
        <v>1807</v>
      </c>
      <c r="E143" s="76" t="s">
        <v>1383</v>
      </c>
      <c r="F143" s="76" t="s">
        <v>1538</v>
      </c>
      <c r="G143" s="76" t="s">
        <v>5</v>
      </c>
      <c r="AU143" s="74" t="s">
        <v>1808</v>
      </c>
    </row>
    <row r="144" spans="1:47" hidden="1" x14ac:dyDescent="0.3">
      <c r="A144" s="76" t="s">
        <v>1809</v>
      </c>
      <c r="B144" s="76" t="s">
        <v>1203</v>
      </c>
      <c r="C144" s="76" t="s">
        <v>1810</v>
      </c>
      <c r="D144" s="76" t="s">
        <v>1810</v>
      </c>
      <c r="E144" s="76" t="s">
        <v>1542</v>
      </c>
      <c r="F144" s="76" t="s">
        <v>1725</v>
      </c>
      <c r="G144" s="76" t="s">
        <v>1213</v>
      </c>
      <c r="AU144" s="74" t="s">
        <v>1811</v>
      </c>
    </row>
    <row r="145" spans="1:47" hidden="1" x14ac:dyDescent="0.3">
      <c r="A145" s="76" t="s">
        <v>1812</v>
      </c>
      <c r="B145" s="76" t="s">
        <v>1204</v>
      </c>
      <c r="C145" s="76" t="s">
        <v>1813</v>
      </c>
      <c r="D145" s="76" t="s">
        <v>1813</v>
      </c>
      <c r="E145" s="76" t="s">
        <v>1542</v>
      </c>
      <c r="F145" s="76" t="s">
        <v>1570</v>
      </c>
      <c r="G145" s="76" t="s">
        <v>1206</v>
      </c>
      <c r="AU145" s="74" t="s">
        <v>1814</v>
      </c>
    </row>
    <row r="146" spans="1:47" hidden="1" x14ac:dyDescent="0.3">
      <c r="A146" s="76" t="s">
        <v>1815</v>
      </c>
      <c r="B146" s="76" t="s">
        <v>1205</v>
      </c>
      <c r="C146" s="76" t="s">
        <v>1816</v>
      </c>
      <c r="D146" s="76" t="s">
        <v>1816</v>
      </c>
      <c r="E146" s="76" t="s">
        <v>1542</v>
      </c>
      <c r="F146" s="76" t="s">
        <v>1633</v>
      </c>
      <c r="G146" s="76" t="s">
        <v>1208</v>
      </c>
      <c r="AU146" s="74" t="s">
        <v>1817</v>
      </c>
    </row>
    <row r="147" spans="1:47" hidden="1" x14ac:dyDescent="0.3">
      <c r="A147" s="76" t="s">
        <v>1570</v>
      </c>
      <c r="B147" s="76" t="s">
        <v>1206</v>
      </c>
      <c r="C147" s="76" t="s">
        <v>1818</v>
      </c>
      <c r="D147" s="76" t="s">
        <v>1818</v>
      </c>
      <c r="E147" s="76" t="s">
        <v>1383</v>
      </c>
      <c r="F147" s="76" t="s">
        <v>1538</v>
      </c>
      <c r="G147" s="76" t="s">
        <v>5</v>
      </c>
      <c r="AU147" s="74" t="s">
        <v>1819</v>
      </c>
    </row>
    <row r="148" spans="1:47" hidden="1" x14ac:dyDescent="0.3">
      <c r="A148" s="76" t="s">
        <v>1820</v>
      </c>
      <c r="B148" s="76" t="s">
        <v>1207</v>
      </c>
      <c r="C148" s="76" t="s">
        <v>1821</v>
      </c>
      <c r="D148" s="76" t="s">
        <v>1821</v>
      </c>
      <c r="E148" s="76" t="s">
        <v>1542</v>
      </c>
      <c r="F148" s="76" t="s">
        <v>1741</v>
      </c>
      <c r="G148" s="76" t="s">
        <v>1182</v>
      </c>
      <c r="AU148" s="74" t="s">
        <v>1822</v>
      </c>
    </row>
    <row r="149" spans="1:47" hidden="1" x14ac:dyDescent="0.3">
      <c r="A149" s="76" t="s">
        <v>1633</v>
      </c>
      <c r="B149" s="76" t="s">
        <v>1208</v>
      </c>
      <c r="C149" s="76" t="s">
        <v>1823</v>
      </c>
      <c r="D149" s="76" t="s">
        <v>1823</v>
      </c>
      <c r="E149" s="76" t="s">
        <v>1383</v>
      </c>
      <c r="F149" s="76" t="s">
        <v>1538</v>
      </c>
      <c r="G149" s="76" t="s">
        <v>5</v>
      </c>
      <c r="AU149" s="74" t="s">
        <v>1824</v>
      </c>
    </row>
    <row r="150" spans="1:47" hidden="1" x14ac:dyDescent="0.3">
      <c r="A150" s="76" t="s">
        <v>1825</v>
      </c>
      <c r="B150" s="76" t="s">
        <v>1209</v>
      </c>
      <c r="C150" s="76" t="s">
        <v>1826</v>
      </c>
      <c r="D150" s="76" t="s">
        <v>1826</v>
      </c>
      <c r="E150" s="76" t="s">
        <v>1542</v>
      </c>
      <c r="F150" s="76" t="s">
        <v>1633</v>
      </c>
      <c r="G150" s="76" t="s">
        <v>1208</v>
      </c>
      <c r="AU150" s="74" t="s">
        <v>1827</v>
      </c>
    </row>
    <row r="151" spans="1:47" hidden="1" x14ac:dyDescent="0.3">
      <c r="A151" s="76" t="s">
        <v>1828</v>
      </c>
      <c r="B151" s="76" t="s">
        <v>1829</v>
      </c>
      <c r="C151" s="76" t="s">
        <v>1830</v>
      </c>
      <c r="D151" s="76" t="s">
        <v>1830</v>
      </c>
      <c r="E151" s="76" t="s">
        <v>1368</v>
      </c>
      <c r="F151" s="76" t="s">
        <v>1538</v>
      </c>
      <c r="G151" s="76" t="s">
        <v>5</v>
      </c>
      <c r="AU151" s="74" t="s">
        <v>1831</v>
      </c>
    </row>
    <row r="152" spans="1:47" hidden="1" x14ac:dyDescent="0.3">
      <c r="A152" s="76" t="s">
        <v>1832</v>
      </c>
      <c r="B152" s="76" t="s">
        <v>1210</v>
      </c>
      <c r="C152" s="76" t="s">
        <v>1833</v>
      </c>
      <c r="D152" s="76" t="s">
        <v>1833</v>
      </c>
      <c r="E152" s="76" t="s">
        <v>1542</v>
      </c>
      <c r="F152" s="76" t="s">
        <v>1649</v>
      </c>
      <c r="G152" s="76" t="s">
        <v>1202</v>
      </c>
      <c r="AU152" s="74" t="s">
        <v>1834</v>
      </c>
    </row>
    <row r="153" spans="1:47" hidden="1" x14ac:dyDescent="0.3">
      <c r="A153" s="76" t="s">
        <v>1835</v>
      </c>
      <c r="B153" s="76" t="s">
        <v>1211</v>
      </c>
      <c r="C153" s="76" t="s">
        <v>1836</v>
      </c>
      <c r="D153" s="76" t="s">
        <v>1836</v>
      </c>
      <c r="E153" s="76" t="s">
        <v>1542</v>
      </c>
      <c r="F153" s="76" t="s">
        <v>1641</v>
      </c>
      <c r="G153" s="76" t="s">
        <v>1160</v>
      </c>
      <c r="AU153" s="74" t="s">
        <v>1837</v>
      </c>
    </row>
    <row r="154" spans="1:47" hidden="1" x14ac:dyDescent="0.3">
      <c r="A154" s="76" t="s">
        <v>1838</v>
      </c>
      <c r="B154" s="76" t="s">
        <v>1212</v>
      </c>
      <c r="C154" s="76" t="s">
        <v>1839</v>
      </c>
      <c r="D154" s="76" t="s">
        <v>1839</v>
      </c>
      <c r="E154" s="76" t="s">
        <v>1542</v>
      </c>
      <c r="F154" s="76" t="s">
        <v>1633</v>
      </c>
      <c r="G154" s="76" t="s">
        <v>1208</v>
      </c>
      <c r="AU154" s="74" t="s">
        <v>1840</v>
      </c>
    </row>
    <row r="155" spans="1:47" hidden="1" x14ac:dyDescent="0.3">
      <c r="A155" s="76" t="s">
        <v>1841</v>
      </c>
      <c r="B155" s="76" t="s">
        <v>1842</v>
      </c>
      <c r="C155" s="76" t="s">
        <v>1843</v>
      </c>
      <c r="D155" s="76" t="s">
        <v>1843</v>
      </c>
      <c r="E155" s="76" t="s">
        <v>1368</v>
      </c>
      <c r="F155" s="76" t="s">
        <v>1538</v>
      </c>
      <c r="G155" s="76" t="s">
        <v>5</v>
      </c>
      <c r="AU155" s="74" t="s">
        <v>1844</v>
      </c>
    </row>
    <row r="156" spans="1:47" hidden="1" x14ac:dyDescent="0.3">
      <c r="A156" s="76" t="s">
        <v>1725</v>
      </c>
      <c r="B156" s="76" t="s">
        <v>1213</v>
      </c>
      <c r="C156" s="76" t="s">
        <v>1845</v>
      </c>
      <c r="D156" s="76" t="s">
        <v>1845</v>
      </c>
      <c r="E156" s="76" t="s">
        <v>1383</v>
      </c>
      <c r="F156" s="76" t="s">
        <v>1538</v>
      </c>
      <c r="G156" s="76" t="s">
        <v>5</v>
      </c>
      <c r="AU156" s="74" t="s">
        <v>1846</v>
      </c>
    </row>
    <row r="157" spans="1:47" hidden="1" x14ac:dyDescent="0.3">
      <c r="A157" s="76" t="s">
        <v>1847</v>
      </c>
      <c r="B157" s="76" t="s">
        <v>1214</v>
      </c>
      <c r="C157" s="76" t="s">
        <v>1848</v>
      </c>
      <c r="D157" s="76" t="s">
        <v>1848</v>
      </c>
      <c r="E157" s="76" t="s">
        <v>1542</v>
      </c>
      <c r="F157" s="76" t="s">
        <v>1725</v>
      </c>
      <c r="G157" s="76" t="s">
        <v>1213</v>
      </c>
      <c r="AU157" s="74" t="s">
        <v>1849</v>
      </c>
    </row>
    <row r="158" spans="1:47" hidden="1" x14ac:dyDescent="0.3">
      <c r="A158" s="76" t="s">
        <v>1850</v>
      </c>
      <c r="B158" s="76" t="s">
        <v>1215</v>
      </c>
      <c r="C158" s="76" t="s">
        <v>1851</v>
      </c>
      <c r="D158" s="76" t="s">
        <v>1851</v>
      </c>
      <c r="E158" s="76" t="s">
        <v>1542</v>
      </c>
      <c r="F158" s="76" t="s">
        <v>1625</v>
      </c>
      <c r="G158" s="76" t="s">
        <v>1193</v>
      </c>
      <c r="AU158" s="74" t="s">
        <v>1852</v>
      </c>
    </row>
    <row r="159" spans="1:47" hidden="1" x14ac:dyDescent="0.3">
      <c r="A159" s="76" t="s">
        <v>1853</v>
      </c>
      <c r="B159" s="76" t="s">
        <v>1854</v>
      </c>
      <c r="C159" s="76" t="s">
        <v>1855</v>
      </c>
      <c r="D159" s="76" t="s">
        <v>1855</v>
      </c>
      <c r="E159" s="76" t="s">
        <v>1368</v>
      </c>
      <c r="F159" s="76" t="s">
        <v>1538</v>
      </c>
      <c r="G159" s="76" t="s">
        <v>5</v>
      </c>
      <c r="AU159" s="74" t="s">
        <v>1856</v>
      </c>
    </row>
    <row r="160" spans="1:47" hidden="1" x14ac:dyDescent="0.3">
      <c r="A160" s="76" t="s">
        <v>1582</v>
      </c>
      <c r="B160" s="76" t="s">
        <v>1216</v>
      </c>
      <c r="C160" s="76" t="s">
        <v>1857</v>
      </c>
      <c r="D160" s="76" t="s">
        <v>1857</v>
      </c>
      <c r="E160" s="76" t="s">
        <v>1383</v>
      </c>
      <c r="F160" s="76" t="s">
        <v>1538</v>
      </c>
      <c r="G160" s="76" t="s">
        <v>5</v>
      </c>
      <c r="AU160" s="74" t="s">
        <v>1858</v>
      </c>
    </row>
    <row r="161" spans="1:47" hidden="1" x14ac:dyDescent="0.3">
      <c r="A161" s="76" t="s">
        <v>1859</v>
      </c>
      <c r="B161" s="76" t="s">
        <v>1217</v>
      </c>
      <c r="C161" s="76" t="s">
        <v>1860</v>
      </c>
      <c r="D161" s="76" t="s">
        <v>1860</v>
      </c>
      <c r="E161" s="76" t="s">
        <v>1542</v>
      </c>
      <c r="F161" s="76" t="s">
        <v>1649</v>
      </c>
      <c r="G161" s="76" t="s">
        <v>1202</v>
      </c>
      <c r="AU161" s="74" t="s">
        <v>1861</v>
      </c>
    </row>
    <row r="162" spans="1:47" hidden="1" x14ac:dyDescent="0.3">
      <c r="A162" s="76" t="s">
        <v>1578</v>
      </c>
      <c r="B162" s="76" t="s">
        <v>1218</v>
      </c>
      <c r="C162" s="76" t="s">
        <v>1862</v>
      </c>
      <c r="D162" s="76" t="s">
        <v>1862</v>
      </c>
      <c r="E162" s="76" t="s">
        <v>1383</v>
      </c>
      <c r="F162" s="76" t="s">
        <v>1538</v>
      </c>
      <c r="G162" s="76" t="s">
        <v>5</v>
      </c>
      <c r="AU162" s="74" t="s">
        <v>1863</v>
      </c>
    </row>
    <row r="163" spans="1:47" hidden="1" x14ac:dyDescent="0.3">
      <c r="A163" s="76" t="s">
        <v>1864</v>
      </c>
      <c r="B163" s="76" t="s">
        <v>1865</v>
      </c>
      <c r="C163" s="76" t="s">
        <v>1866</v>
      </c>
      <c r="D163" s="76" t="s">
        <v>1866</v>
      </c>
      <c r="E163" s="76" t="s">
        <v>1542</v>
      </c>
      <c r="F163" s="76" t="s">
        <v>1578</v>
      </c>
      <c r="G163" s="76" t="s">
        <v>1218</v>
      </c>
      <c r="AU163" s="74" t="s">
        <v>1867</v>
      </c>
    </row>
    <row r="164" spans="1:47" hidden="1" x14ac:dyDescent="0.3">
      <c r="A164" s="76" t="s">
        <v>1868</v>
      </c>
      <c r="B164" s="76" t="s">
        <v>1219</v>
      </c>
      <c r="C164" s="76" t="s">
        <v>1869</v>
      </c>
      <c r="D164" s="76" t="s">
        <v>1869</v>
      </c>
      <c r="E164" s="76" t="s">
        <v>1542</v>
      </c>
      <c r="F164" s="76" t="s">
        <v>1578</v>
      </c>
      <c r="G164" s="76" t="s">
        <v>1218</v>
      </c>
      <c r="AU164" s="74" t="s">
        <v>1870</v>
      </c>
    </row>
    <row r="165" spans="1:47" hidden="1" x14ac:dyDescent="0.3">
      <c r="A165" s="76" t="s">
        <v>1871</v>
      </c>
      <c r="B165" s="76" t="s">
        <v>1220</v>
      </c>
      <c r="C165" s="76" t="s">
        <v>1872</v>
      </c>
      <c r="D165" s="76" t="s">
        <v>1872</v>
      </c>
      <c r="E165" s="76" t="s">
        <v>1542</v>
      </c>
      <c r="F165" s="76" t="s">
        <v>1547</v>
      </c>
      <c r="G165" s="76" t="s">
        <v>1155</v>
      </c>
      <c r="AU165" s="74" t="s">
        <v>1873</v>
      </c>
    </row>
    <row r="166" spans="1:47" hidden="1" x14ac:dyDescent="0.3">
      <c r="A166" s="76" t="s">
        <v>1874</v>
      </c>
      <c r="B166" s="76" t="s">
        <v>1221</v>
      </c>
      <c r="C166" s="76" t="s">
        <v>1875</v>
      </c>
      <c r="D166" s="76" t="s">
        <v>1875</v>
      </c>
      <c r="E166" s="76" t="s">
        <v>1542</v>
      </c>
      <c r="F166" s="76" t="s">
        <v>1725</v>
      </c>
      <c r="G166" s="76" t="s">
        <v>1213</v>
      </c>
      <c r="AU166" s="74" t="s">
        <v>1876</v>
      </c>
    </row>
    <row r="167" spans="1:47" hidden="1" x14ac:dyDescent="0.3">
      <c r="A167" s="76" t="s">
        <v>1877</v>
      </c>
      <c r="B167" s="76" t="s">
        <v>1222</v>
      </c>
      <c r="C167" s="76" t="s">
        <v>1878</v>
      </c>
      <c r="D167" s="76" t="s">
        <v>1878</v>
      </c>
      <c r="E167" s="76" t="s">
        <v>1542</v>
      </c>
      <c r="F167" s="76" t="s">
        <v>1574</v>
      </c>
      <c r="G167" s="76" t="s">
        <v>1199</v>
      </c>
      <c r="AU167" s="74" t="s">
        <v>1879</v>
      </c>
    </row>
    <row r="168" spans="1:47" hidden="1" x14ac:dyDescent="0.3">
      <c r="A168" s="76" t="s">
        <v>1880</v>
      </c>
      <c r="B168" s="76" t="s">
        <v>1881</v>
      </c>
      <c r="C168" s="76" t="s">
        <v>1882</v>
      </c>
      <c r="D168" s="76" t="s">
        <v>1882</v>
      </c>
      <c r="E168" s="76" t="s">
        <v>1376</v>
      </c>
      <c r="F168" s="76" t="s">
        <v>1538</v>
      </c>
      <c r="G168" s="76" t="s">
        <v>5</v>
      </c>
      <c r="AU168" s="74" t="s">
        <v>1883</v>
      </c>
    </row>
    <row r="169" spans="1:47" hidden="1" x14ac:dyDescent="0.3">
      <c r="A169" s="76" t="s">
        <v>1884</v>
      </c>
      <c r="B169" s="76" t="s">
        <v>1228</v>
      </c>
      <c r="C169" s="76" t="s">
        <v>1885</v>
      </c>
      <c r="D169" s="76" t="s">
        <v>1885</v>
      </c>
      <c r="E169" s="76" t="s">
        <v>1542</v>
      </c>
      <c r="F169" s="76" t="s">
        <v>1757</v>
      </c>
      <c r="G169" s="76" t="s">
        <v>1186</v>
      </c>
      <c r="AU169" s="74" t="s">
        <v>1886</v>
      </c>
    </row>
    <row r="170" spans="1:47" hidden="1" x14ac:dyDescent="0.3">
      <c r="A170" s="76" t="s">
        <v>1887</v>
      </c>
      <c r="B170" s="76" t="s">
        <v>1223</v>
      </c>
      <c r="C170" s="76" t="s">
        <v>1888</v>
      </c>
      <c r="D170" s="76" t="s">
        <v>1888</v>
      </c>
      <c r="E170" s="76" t="s">
        <v>1542</v>
      </c>
      <c r="F170" s="76" t="s">
        <v>1757</v>
      </c>
      <c r="G170" s="76" t="s">
        <v>1186</v>
      </c>
      <c r="AU170" s="74" t="s">
        <v>1889</v>
      </c>
    </row>
    <row r="171" spans="1:47" hidden="1" x14ac:dyDescent="0.3">
      <c r="A171" s="76" t="s">
        <v>1890</v>
      </c>
      <c r="B171" s="76" t="s">
        <v>1138</v>
      </c>
      <c r="C171" s="76" t="s">
        <v>1891</v>
      </c>
      <c r="D171" s="76" t="s">
        <v>1891</v>
      </c>
      <c r="E171" s="76" t="s">
        <v>1542</v>
      </c>
      <c r="F171" s="76" t="s">
        <v>1741</v>
      </c>
      <c r="G171" s="76" t="s">
        <v>1182</v>
      </c>
      <c r="AU171" s="74" t="s">
        <v>1892</v>
      </c>
    </row>
    <row r="172" spans="1:47" hidden="1" x14ac:dyDescent="0.3">
      <c r="A172" s="76" t="s">
        <v>1893</v>
      </c>
      <c r="B172" s="76" t="s">
        <v>760</v>
      </c>
      <c r="C172" s="76" t="s">
        <v>1073</v>
      </c>
      <c r="D172" s="76" t="s">
        <v>1073</v>
      </c>
      <c r="E172" s="76" t="s">
        <v>1532</v>
      </c>
      <c r="F172" s="76" t="s">
        <v>1350</v>
      </c>
      <c r="G172" s="76" t="s">
        <v>1351</v>
      </c>
      <c r="AU172" s="74" t="s">
        <v>1894</v>
      </c>
    </row>
    <row r="173" spans="1:47" hidden="1" x14ac:dyDescent="0.3">
      <c r="A173" s="76" t="s">
        <v>1350</v>
      </c>
      <c r="B173" s="76" t="s">
        <v>1351</v>
      </c>
      <c r="C173" s="76" t="s">
        <v>1895</v>
      </c>
      <c r="D173" s="76" t="s">
        <v>1895</v>
      </c>
      <c r="E173" s="76" t="s">
        <v>1896</v>
      </c>
      <c r="F173" s="76" t="s">
        <v>134</v>
      </c>
      <c r="G173" s="76" t="s">
        <v>134</v>
      </c>
      <c r="AU173" s="74" t="s">
        <v>1897</v>
      </c>
    </row>
    <row r="174" spans="1:47" hidden="1" x14ac:dyDescent="0.3">
      <c r="A174" s="76" t="s">
        <v>1898</v>
      </c>
      <c r="B174" s="76" t="s">
        <v>1899</v>
      </c>
      <c r="C174" s="76" t="s">
        <v>1900</v>
      </c>
      <c r="D174" s="76" t="s">
        <v>1900</v>
      </c>
      <c r="E174" s="76" t="s">
        <v>1368</v>
      </c>
      <c r="F174" s="76" t="s">
        <v>1350</v>
      </c>
      <c r="G174" s="76" t="s">
        <v>1351</v>
      </c>
      <c r="AU174" s="74" t="s">
        <v>1901</v>
      </c>
    </row>
    <row r="175" spans="1:47" hidden="1" x14ac:dyDescent="0.3">
      <c r="A175" s="76" t="s">
        <v>1902</v>
      </c>
      <c r="B175" s="76" t="s">
        <v>1903</v>
      </c>
      <c r="C175" s="76" t="s">
        <v>1904</v>
      </c>
      <c r="D175" s="76" t="s">
        <v>1904</v>
      </c>
      <c r="E175" s="76" t="s">
        <v>1368</v>
      </c>
      <c r="F175" s="76" t="s">
        <v>1350</v>
      </c>
      <c r="G175" s="76" t="s">
        <v>1351</v>
      </c>
      <c r="AU175" s="74" t="s">
        <v>1905</v>
      </c>
    </row>
    <row r="176" spans="1:47" hidden="1" x14ac:dyDescent="0.3">
      <c r="A176" s="76" t="s">
        <v>1906</v>
      </c>
      <c r="B176" s="76" t="s">
        <v>1907</v>
      </c>
      <c r="C176" s="76" t="s">
        <v>1908</v>
      </c>
      <c r="D176" s="76" t="s">
        <v>1908</v>
      </c>
      <c r="E176" s="76" t="s">
        <v>1368</v>
      </c>
      <c r="F176" s="76" t="s">
        <v>1350</v>
      </c>
      <c r="G176" s="76" t="s">
        <v>1351</v>
      </c>
      <c r="AU176" s="74" t="s">
        <v>1909</v>
      </c>
    </row>
    <row r="177" spans="1:47" hidden="1" x14ac:dyDescent="0.3">
      <c r="A177" s="76" t="s">
        <v>1910</v>
      </c>
      <c r="B177" s="76" t="s">
        <v>1911</v>
      </c>
      <c r="C177" s="76" t="s">
        <v>1912</v>
      </c>
      <c r="D177" s="76" t="s">
        <v>1912</v>
      </c>
      <c r="E177" s="76" t="s">
        <v>1913</v>
      </c>
      <c r="F177" s="76" t="s">
        <v>1350</v>
      </c>
      <c r="G177" s="76" t="s">
        <v>1351</v>
      </c>
      <c r="AU177" s="74" t="s">
        <v>1914</v>
      </c>
    </row>
    <row r="178" spans="1:47" hidden="1" x14ac:dyDescent="0.3">
      <c r="A178" s="76" t="s">
        <v>1915</v>
      </c>
      <c r="B178" s="76" t="s">
        <v>1916</v>
      </c>
      <c r="C178" s="76" t="s">
        <v>1917</v>
      </c>
      <c r="D178" s="76" t="s">
        <v>1917</v>
      </c>
      <c r="E178" s="76" t="s">
        <v>1368</v>
      </c>
      <c r="F178" s="76" t="s">
        <v>1350</v>
      </c>
      <c r="G178" s="76" t="s">
        <v>1351</v>
      </c>
      <c r="AU178" s="74" t="s">
        <v>1918</v>
      </c>
    </row>
    <row r="179" spans="1:47" hidden="1" x14ac:dyDescent="0.3">
      <c r="A179" s="76" t="s">
        <v>1919</v>
      </c>
      <c r="B179" s="76" t="s">
        <v>1920</v>
      </c>
      <c r="C179" s="76" t="s">
        <v>1921</v>
      </c>
      <c r="D179" s="76" t="s">
        <v>1921</v>
      </c>
      <c r="E179" s="76" t="s">
        <v>1368</v>
      </c>
      <c r="F179" s="76" t="s">
        <v>1350</v>
      </c>
      <c r="G179" s="76" t="s">
        <v>1351</v>
      </c>
      <c r="AU179" s="74" t="s">
        <v>1922</v>
      </c>
    </row>
    <row r="180" spans="1:47" hidden="1" x14ac:dyDescent="0.3">
      <c r="A180" s="76" t="s">
        <v>1923</v>
      </c>
      <c r="B180" s="76" t="s">
        <v>1924</v>
      </c>
      <c r="C180" s="76" t="s">
        <v>1925</v>
      </c>
      <c r="D180" s="76" t="s">
        <v>1925</v>
      </c>
      <c r="E180" s="76" t="s">
        <v>1368</v>
      </c>
      <c r="F180" s="76" t="s">
        <v>1350</v>
      </c>
      <c r="G180" s="76" t="s">
        <v>1351</v>
      </c>
      <c r="AU180" s="74" t="s">
        <v>1926</v>
      </c>
    </row>
    <row r="181" spans="1:47" hidden="1" x14ac:dyDescent="0.3">
      <c r="A181" s="76" t="s">
        <v>1927</v>
      </c>
      <c r="B181" s="76" t="s">
        <v>1928</v>
      </c>
      <c r="C181" s="76" t="s">
        <v>1929</v>
      </c>
      <c r="D181" s="76" t="s">
        <v>1929</v>
      </c>
      <c r="E181" s="76" t="s">
        <v>1368</v>
      </c>
      <c r="F181" s="76" t="s">
        <v>1350</v>
      </c>
      <c r="G181" s="76" t="s">
        <v>1351</v>
      </c>
      <c r="AU181" s="74" t="s">
        <v>1930</v>
      </c>
    </row>
    <row r="182" spans="1:47" hidden="1" x14ac:dyDescent="0.3">
      <c r="A182" s="76" t="s">
        <v>1931</v>
      </c>
      <c r="B182" s="76" t="s">
        <v>1932</v>
      </c>
      <c r="C182" s="76" t="s">
        <v>1933</v>
      </c>
      <c r="D182" s="76" t="s">
        <v>1933</v>
      </c>
      <c r="E182" s="76" t="s">
        <v>1368</v>
      </c>
      <c r="F182" s="76" t="s">
        <v>1927</v>
      </c>
      <c r="G182" s="76" t="s">
        <v>1928</v>
      </c>
      <c r="AU182" s="74" t="s">
        <v>1934</v>
      </c>
    </row>
    <row r="183" spans="1:47" hidden="1" x14ac:dyDescent="0.3">
      <c r="A183" s="76" t="s">
        <v>1935</v>
      </c>
      <c r="B183" s="76" t="s">
        <v>1936</v>
      </c>
      <c r="C183" s="76" t="s">
        <v>1937</v>
      </c>
      <c r="D183" s="76" t="s">
        <v>1937</v>
      </c>
      <c r="E183" s="76" t="s">
        <v>1368</v>
      </c>
      <c r="F183" s="76" t="s">
        <v>1927</v>
      </c>
      <c r="G183" s="76" t="s">
        <v>1928</v>
      </c>
      <c r="AU183" s="74" t="s">
        <v>1938</v>
      </c>
    </row>
    <row r="184" spans="1:47" hidden="1" x14ac:dyDescent="0.3">
      <c r="A184" s="76" t="s">
        <v>1939</v>
      </c>
      <c r="B184" s="76" t="s">
        <v>1940</v>
      </c>
      <c r="C184" s="76" t="s">
        <v>1941</v>
      </c>
      <c r="D184" s="76" t="s">
        <v>1941</v>
      </c>
      <c r="E184" s="76" t="s">
        <v>1368</v>
      </c>
      <c r="F184" s="76" t="s">
        <v>1927</v>
      </c>
      <c r="G184" s="76" t="s">
        <v>1928</v>
      </c>
      <c r="AU184" s="74" t="s">
        <v>1942</v>
      </c>
    </row>
    <row r="185" spans="1:47" hidden="1" x14ac:dyDescent="0.3">
      <c r="A185" s="76" t="s">
        <v>1943</v>
      </c>
      <c r="B185" s="76" t="s">
        <v>1944</v>
      </c>
      <c r="C185" s="76" t="s">
        <v>1945</v>
      </c>
      <c r="D185" s="76" t="s">
        <v>1945</v>
      </c>
      <c r="E185" s="76" t="s">
        <v>1368</v>
      </c>
      <c r="F185" s="76" t="s">
        <v>1927</v>
      </c>
      <c r="G185" s="76" t="s">
        <v>1928</v>
      </c>
      <c r="AU185" s="74" t="s">
        <v>1946</v>
      </c>
    </row>
    <row r="186" spans="1:47" hidden="1" x14ac:dyDescent="0.3">
      <c r="A186" s="76" t="s">
        <v>1947</v>
      </c>
      <c r="B186" s="76" t="s">
        <v>1948</v>
      </c>
      <c r="C186" s="76" t="s">
        <v>1949</v>
      </c>
      <c r="D186" s="76" t="s">
        <v>1949</v>
      </c>
      <c r="E186" s="76" t="s">
        <v>1368</v>
      </c>
      <c r="F186" s="76" t="s">
        <v>1350</v>
      </c>
      <c r="G186" s="76" t="s">
        <v>1351</v>
      </c>
      <c r="AU186" s="74" t="s">
        <v>1950</v>
      </c>
    </row>
    <row r="187" spans="1:47" hidden="1" x14ac:dyDescent="0.3">
      <c r="A187" s="76" t="s">
        <v>1951</v>
      </c>
      <c r="B187" s="76" t="s">
        <v>1952</v>
      </c>
      <c r="C187" s="76" t="s">
        <v>1953</v>
      </c>
      <c r="D187" s="76" t="s">
        <v>1953</v>
      </c>
      <c r="E187" s="76" t="s">
        <v>1368</v>
      </c>
      <c r="F187" s="76" t="s">
        <v>1350</v>
      </c>
      <c r="G187" s="76" t="s">
        <v>1351</v>
      </c>
      <c r="AU187" s="74" t="s">
        <v>1954</v>
      </c>
    </row>
    <row r="188" spans="1:47" hidden="1" x14ac:dyDescent="0.3">
      <c r="A188" s="76" t="s">
        <v>1955</v>
      </c>
      <c r="B188" s="76" t="s">
        <v>1956</v>
      </c>
      <c r="C188" s="76" t="s">
        <v>1957</v>
      </c>
      <c r="D188" s="76" t="s">
        <v>1957</v>
      </c>
      <c r="E188" s="76" t="s">
        <v>1368</v>
      </c>
      <c r="F188" s="76" t="s">
        <v>1350</v>
      </c>
      <c r="G188" s="76" t="s">
        <v>1351</v>
      </c>
      <c r="AU188" s="74" t="s">
        <v>1958</v>
      </c>
    </row>
    <row r="189" spans="1:47" hidden="1" x14ac:dyDescent="0.3">
      <c r="A189" s="76" t="s">
        <v>1959</v>
      </c>
      <c r="B189" s="76" t="s">
        <v>1960</v>
      </c>
      <c r="C189" s="76" t="s">
        <v>1961</v>
      </c>
      <c r="D189" s="76" t="s">
        <v>1961</v>
      </c>
      <c r="E189" s="76" t="s">
        <v>1368</v>
      </c>
      <c r="F189" s="76" t="s">
        <v>1350</v>
      </c>
      <c r="G189" s="76" t="s">
        <v>1351</v>
      </c>
      <c r="AU189" s="74" t="s">
        <v>1962</v>
      </c>
    </row>
    <row r="190" spans="1:47" hidden="1" x14ac:dyDescent="0.3">
      <c r="A190" s="76" t="s">
        <v>1963</v>
      </c>
      <c r="B190" s="76" t="s">
        <v>1964</v>
      </c>
      <c r="C190" s="76" t="s">
        <v>1965</v>
      </c>
      <c r="D190" s="76" t="s">
        <v>1965</v>
      </c>
      <c r="E190" s="76" t="s">
        <v>1368</v>
      </c>
      <c r="F190" s="76" t="s">
        <v>1350</v>
      </c>
      <c r="G190" s="76" t="s">
        <v>1351</v>
      </c>
      <c r="AU190" s="74" t="s">
        <v>1966</v>
      </c>
    </row>
    <row r="191" spans="1:47" hidden="1" x14ac:dyDescent="0.3">
      <c r="A191" s="76" t="s">
        <v>1967</v>
      </c>
      <c r="B191" s="76" t="s">
        <v>1968</v>
      </c>
      <c r="C191" s="76" t="s">
        <v>1969</v>
      </c>
      <c r="D191" s="76" t="s">
        <v>1969</v>
      </c>
      <c r="E191" s="76" t="s">
        <v>1368</v>
      </c>
      <c r="F191" s="76" t="s">
        <v>1350</v>
      </c>
      <c r="G191" s="76" t="s">
        <v>1351</v>
      </c>
      <c r="AU191" s="74" t="s">
        <v>1970</v>
      </c>
    </row>
    <row r="192" spans="1:47" hidden="1" x14ac:dyDescent="0.3">
      <c r="A192" s="76" t="s">
        <v>1971</v>
      </c>
      <c r="B192" s="76" t="s">
        <v>1972</v>
      </c>
      <c r="C192" s="76" t="s">
        <v>1973</v>
      </c>
      <c r="D192" s="76" t="s">
        <v>1973</v>
      </c>
      <c r="E192" s="76" t="s">
        <v>1368</v>
      </c>
      <c r="F192" s="76" t="s">
        <v>1967</v>
      </c>
      <c r="G192" s="76" t="s">
        <v>1968</v>
      </c>
      <c r="AU192" s="74" t="s">
        <v>1974</v>
      </c>
    </row>
    <row r="193" spans="1:47" hidden="1" x14ac:dyDescent="0.3">
      <c r="A193" s="76" t="s">
        <v>1975</v>
      </c>
      <c r="B193" s="76" t="s">
        <v>1976</v>
      </c>
      <c r="C193" s="76" t="s">
        <v>1977</v>
      </c>
      <c r="D193" s="76" t="s">
        <v>1977</v>
      </c>
      <c r="E193" s="76" t="s">
        <v>1368</v>
      </c>
      <c r="F193" s="76" t="s">
        <v>1967</v>
      </c>
      <c r="G193" s="76" t="s">
        <v>1968</v>
      </c>
      <c r="AU193" s="74" t="s">
        <v>1978</v>
      </c>
    </row>
    <row r="194" spans="1:47" hidden="1" x14ac:dyDescent="0.3">
      <c r="A194" s="76" t="s">
        <v>1979</v>
      </c>
      <c r="B194" s="76" t="s">
        <v>1980</v>
      </c>
      <c r="C194" s="76" t="s">
        <v>1981</v>
      </c>
      <c r="D194" s="76" t="s">
        <v>1981</v>
      </c>
      <c r="E194" s="76" t="s">
        <v>1368</v>
      </c>
      <c r="F194" s="76" t="s">
        <v>1350</v>
      </c>
      <c r="G194" s="76" t="s">
        <v>1351</v>
      </c>
      <c r="AU194" s="74" t="s">
        <v>1982</v>
      </c>
    </row>
    <row r="195" spans="1:47" hidden="1" x14ac:dyDescent="0.3">
      <c r="A195" s="76" t="s">
        <v>1983</v>
      </c>
      <c r="B195" s="76" t="s">
        <v>1984</v>
      </c>
      <c r="C195" s="76" t="s">
        <v>1985</v>
      </c>
      <c r="D195" s="76" t="s">
        <v>1985</v>
      </c>
      <c r="E195" s="76" t="s">
        <v>1368</v>
      </c>
      <c r="F195" s="76" t="s">
        <v>1967</v>
      </c>
      <c r="G195" s="76" t="s">
        <v>1968</v>
      </c>
      <c r="AU195" s="74" t="s">
        <v>1986</v>
      </c>
    </row>
    <row r="196" spans="1:47" hidden="1" x14ac:dyDescent="0.3">
      <c r="A196" s="76" t="s">
        <v>1987</v>
      </c>
      <c r="B196" s="76" t="s">
        <v>1988</v>
      </c>
      <c r="C196" s="76" t="s">
        <v>1989</v>
      </c>
      <c r="D196" s="76" t="s">
        <v>1989</v>
      </c>
      <c r="E196" s="76" t="s">
        <v>1368</v>
      </c>
      <c r="F196" s="76" t="s">
        <v>1967</v>
      </c>
      <c r="G196" s="76" t="s">
        <v>1968</v>
      </c>
      <c r="AU196" s="74" t="s">
        <v>1990</v>
      </c>
    </row>
    <row r="197" spans="1:47" hidden="1" x14ac:dyDescent="0.3">
      <c r="A197" s="76" t="s">
        <v>1991</v>
      </c>
      <c r="B197" s="76" t="s">
        <v>1992</v>
      </c>
      <c r="C197" s="76" t="s">
        <v>1993</v>
      </c>
      <c r="D197" s="76" t="s">
        <v>1993</v>
      </c>
      <c r="E197" s="76" t="s">
        <v>1368</v>
      </c>
      <c r="F197" s="76" t="s">
        <v>1967</v>
      </c>
      <c r="G197" s="76" t="s">
        <v>1968</v>
      </c>
      <c r="AU197" s="74" t="s">
        <v>1994</v>
      </c>
    </row>
    <row r="198" spans="1:47" hidden="1" x14ac:dyDescent="0.3">
      <c r="A198" s="76" t="s">
        <v>1995</v>
      </c>
      <c r="B198" s="76" t="s">
        <v>1996</v>
      </c>
      <c r="C198" s="76" t="s">
        <v>1997</v>
      </c>
      <c r="D198" s="76" t="s">
        <v>1997</v>
      </c>
      <c r="E198" s="76" t="s">
        <v>1368</v>
      </c>
      <c r="F198" s="76" t="s">
        <v>1967</v>
      </c>
      <c r="G198" s="76" t="s">
        <v>1968</v>
      </c>
      <c r="AU198" s="74" t="s">
        <v>1998</v>
      </c>
    </row>
    <row r="199" spans="1:47" hidden="1" x14ac:dyDescent="0.3">
      <c r="A199" s="76" t="s">
        <v>1999</v>
      </c>
      <c r="B199" s="76" t="s">
        <v>2000</v>
      </c>
      <c r="C199" s="76" t="s">
        <v>2001</v>
      </c>
      <c r="D199" s="76" t="s">
        <v>2001</v>
      </c>
      <c r="E199" s="76" t="s">
        <v>1368</v>
      </c>
      <c r="F199" s="76" t="s">
        <v>1350</v>
      </c>
      <c r="G199" s="76" t="s">
        <v>1351</v>
      </c>
      <c r="AU199" s="74" t="s">
        <v>2002</v>
      </c>
    </row>
    <row r="200" spans="1:47" hidden="1" x14ac:dyDescent="0.3">
      <c r="A200" s="76" t="s">
        <v>2003</v>
      </c>
      <c r="B200" s="76" t="s">
        <v>2004</v>
      </c>
      <c r="C200" s="76" t="s">
        <v>2005</v>
      </c>
      <c r="D200" s="76" t="s">
        <v>2005</v>
      </c>
      <c r="E200" s="76" t="s">
        <v>1913</v>
      </c>
      <c r="F200" s="76" t="s">
        <v>1350</v>
      </c>
      <c r="G200" s="76" t="s">
        <v>1351</v>
      </c>
      <c r="AU200" s="74" t="s">
        <v>2006</v>
      </c>
    </row>
    <row r="201" spans="1:47" hidden="1" x14ac:dyDescent="0.3">
      <c r="A201" s="76" t="s">
        <v>2007</v>
      </c>
      <c r="B201" s="76" t="s">
        <v>12</v>
      </c>
      <c r="C201" s="76" t="s">
        <v>2008</v>
      </c>
      <c r="D201" s="76" t="s">
        <v>2008</v>
      </c>
      <c r="E201" s="76" t="s">
        <v>1383</v>
      </c>
      <c r="F201" s="76" t="s">
        <v>1350</v>
      </c>
      <c r="G201" s="76" t="s">
        <v>1351</v>
      </c>
      <c r="AU201" s="74" t="s">
        <v>2009</v>
      </c>
    </row>
    <row r="202" spans="1:47" hidden="1" x14ac:dyDescent="0.3">
      <c r="A202" s="76" t="s">
        <v>2010</v>
      </c>
      <c r="B202" s="76" t="s">
        <v>1229</v>
      </c>
      <c r="C202" s="76" t="s">
        <v>2011</v>
      </c>
      <c r="D202" s="76" t="s">
        <v>2011</v>
      </c>
      <c r="E202" s="76" t="s">
        <v>1542</v>
      </c>
      <c r="F202" s="76" t="s">
        <v>2007</v>
      </c>
      <c r="G202" s="76" t="s">
        <v>12</v>
      </c>
      <c r="AU202" s="74" t="s">
        <v>2012</v>
      </c>
    </row>
    <row r="203" spans="1:47" hidden="1" x14ac:dyDescent="0.3">
      <c r="A203" s="76" t="s">
        <v>2013</v>
      </c>
      <c r="B203" s="76" t="s">
        <v>2014</v>
      </c>
      <c r="C203" s="76" t="s">
        <v>2015</v>
      </c>
      <c r="D203" s="76" t="s">
        <v>2015</v>
      </c>
      <c r="E203" s="76" t="s">
        <v>1368</v>
      </c>
      <c r="F203" s="76" t="s">
        <v>2007</v>
      </c>
      <c r="G203" s="76" t="s">
        <v>12</v>
      </c>
      <c r="AU203" s="74" t="s">
        <v>2016</v>
      </c>
    </row>
    <row r="204" spans="1:47" hidden="1" x14ac:dyDescent="0.3">
      <c r="A204" s="76" t="s">
        <v>2017</v>
      </c>
      <c r="B204" s="76" t="s">
        <v>2018</v>
      </c>
      <c r="C204" s="76" t="s">
        <v>2019</v>
      </c>
      <c r="D204" s="76" t="s">
        <v>2019</v>
      </c>
      <c r="E204" s="76" t="s">
        <v>1368</v>
      </c>
      <c r="F204" s="76" t="s">
        <v>2007</v>
      </c>
      <c r="G204" s="76" t="s">
        <v>12</v>
      </c>
      <c r="AU204" s="74" t="s">
        <v>2020</v>
      </c>
    </row>
    <row r="205" spans="1:47" hidden="1" x14ac:dyDescent="0.3">
      <c r="A205" s="76" t="s">
        <v>2021</v>
      </c>
      <c r="B205" s="76" t="s">
        <v>1230</v>
      </c>
      <c r="C205" s="76" t="s">
        <v>2022</v>
      </c>
      <c r="D205" s="76" t="s">
        <v>2022</v>
      </c>
      <c r="E205" s="76" t="s">
        <v>1542</v>
      </c>
      <c r="F205" s="76" t="s">
        <v>2007</v>
      </c>
      <c r="G205" s="76" t="s">
        <v>12</v>
      </c>
      <c r="AU205" s="74" t="s">
        <v>2023</v>
      </c>
    </row>
    <row r="206" spans="1:47" hidden="1" x14ac:dyDescent="0.3">
      <c r="A206" s="76" t="s">
        <v>2024</v>
      </c>
      <c r="B206" s="76" t="s">
        <v>1231</v>
      </c>
      <c r="C206" s="76" t="s">
        <v>2025</v>
      </c>
      <c r="D206" s="76" t="s">
        <v>2025</v>
      </c>
      <c r="E206" s="76" t="s">
        <v>1542</v>
      </c>
      <c r="F206" s="76" t="s">
        <v>2007</v>
      </c>
      <c r="G206" s="76" t="s">
        <v>12</v>
      </c>
      <c r="AU206" s="74" t="s">
        <v>2026</v>
      </c>
    </row>
    <row r="207" spans="1:47" hidden="1" x14ac:dyDescent="0.3">
      <c r="A207" s="76" t="s">
        <v>2027</v>
      </c>
      <c r="B207" s="76" t="s">
        <v>1232</v>
      </c>
      <c r="C207" s="76" t="s">
        <v>2028</v>
      </c>
      <c r="D207" s="76" t="s">
        <v>2028</v>
      </c>
      <c r="E207" s="76" t="s">
        <v>1542</v>
      </c>
      <c r="F207" s="76" t="s">
        <v>2007</v>
      </c>
      <c r="G207" s="76" t="s">
        <v>12</v>
      </c>
      <c r="AU207" s="74" t="s">
        <v>2029</v>
      </c>
    </row>
    <row r="208" spans="1:47" hidden="1" x14ac:dyDescent="0.3">
      <c r="A208" s="76" t="s">
        <v>2030</v>
      </c>
      <c r="B208" s="76" t="s">
        <v>2031</v>
      </c>
      <c r="C208" s="76" t="s">
        <v>2032</v>
      </c>
      <c r="D208" s="76" t="s">
        <v>2032</v>
      </c>
      <c r="E208" s="76" t="s">
        <v>1368</v>
      </c>
      <c r="F208" s="76" t="s">
        <v>2007</v>
      </c>
      <c r="G208" s="76" t="s">
        <v>12</v>
      </c>
      <c r="AU208" s="74" t="s">
        <v>2033</v>
      </c>
    </row>
    <row r="209" spans="1:47" hidden="1" x14ac:dyDescent="0.3">
      <c r="A209" s="76" t="s">
        <v>2034</v>
      </c>
      <c r="B209" s="76" t="s">
        <v>2035</v>
      </c>
      <c r="C209" s="76" t="s">
        <v>2036</v>
      </c>
      <c r="D209" s="76" t="s">
        <v>2036</v>
      </c>
      <c r="E209" s="76" t="s">
        <v>1368</v>
      </c>
      <c r="F209" s="76" t="s">
        <v>1350</v>
      </c>
      <c r="G209" s="76" t="s">
        <v>1351</v>
      </c>
      <c r="AU209" s="74" t="s">
        <v>2037</v>
      </c>
    </row>
    <row r="210" spans="1:47" hidden="1" x14ac:dyDescent="0.3">
      <c r="A210" s="76" t="s">
        <v>2038</v>
      </c>
      <c r="B210" s="76" t="s">
        <v>2039</v>
      </c>
      <c r="C210" s="76" t="s">
        <v>1051</v>
      </c>
      <c r="D210" s="76" t="s">
        <v>1051</v>
      </c>
      <c r="E210" s="76" t="s">
        <v>1368</v>
      </c>
      <c r="F210" s="76" t="s">
        <v>1350</v>
      </c>
      <c r="G210" s="76" t="s">
        <v>1351</v>
      </c>
      <c r="AU210" s="74" t="s">
        <v>2040</v>
      </c>
    </row>
    <row r="211" spans="1:47" hidden="1" x14ac:dyDescent="0.3">
      <c r="A211" s="76" t="s">
        <v>2041</v>
      </c>
      <c r="B211" s="76" t="s">
        <v>2042</v>
      </c>
      <c r="C211" s="76" t="s">
        <v>2043</v>
      </c>
      <c r="D211" s="76" t="s">
        <v>2043</v>
      </c>
      <c r="E211" s="76" t="s">
        <v>1368</v>
      </c>
      <c r="F211" s="76" t="s">
        <v>1350</v>
      </c>
      <c r="G211" s="76" t="s">
        <v>1351</v>
      </c>
      <c r="AU211" s="74" t="s">
        <v>2044</v>
      </c>
    </row>
    <row r="212" spans="1:47" hidden="1" x14ac:dyDescent="0.3">
      <c r="A212" s="76" t="s">
        <v>2045</v>
      </c>
      <c r="B212" s="76" t="s">
        <v>9</v>
      </c>
      <c r="C212" s="76" t="s">
        <v>781</v>
      </c>
      <c r="D212" s="76" t="s">
        <v>781</v>
      </c>
      <c r="E212" s="76" t="s">
        <v>752</v>
      </c>
      <c r="F212" s="76" t="s">
        <v>1350</v>
      </c>
      <c r="G212" s="76" t="s">
        <v>1351</v>
      </c>
      <c r="AU212" s="74" t="s">
        <v>2046</v>
      </c>
    </row>
    <row r="213" spans="1:47" hidden="1" x14ac:dyDescent="0.3">
      <c r="A213" s="76" t="s">
        <v>2047</v>
      </c>
      <c r="B213" s="76" t="s">
        <v>1233</v>
      </c>
      <c r="C213" s="76" t="s">
        <v>2048</v>
      </c>
      <c r="D213" s="76" t="s">
        <v>2048</v>
      </c>
      <c r="E213" s="76" t="s">
        <v>1355</v>
      </c>
      <c r="F213" s="76" t="s">
        <v>2049</v>
      </c>
      <c r="G213" s="76" t="s">
        <v>1247</v>
      </c>
      <c r="AU213" s="74" t="s">
        <v>2050</v>
      </c>
    </row>
    <row r="214" spans="1:47" hidden="1" x14ac:dyDescent="0.3">
      <c r="A214" s="76" t="s">
        <v>2051</v>
      </c>
      <c r="B214" s="76" t="s">
        <v>1234</v>
      </c>
      <c r="C214" s="76" t="s">
        <v>2052</v>
      </c>
      <c r="D214" s="76" t="s">
        <v>2052</v>
      </c>
      <c r="E214" s="76" t="s">
        <v>1355</v>
      </c>
      <c r="F214" s="76" t="s">
        <v>2053</v>
      </c>
      <c r="G214" s="76" t="s">
        <v>1248</v>
      </c>
      <c r="AU214" s="74" t="s">
        <v>2054</v>
      </c>
    </row>
    <row r="215" spans="1:47" hidden="1" x14ac:dyDescent="0.3">
      <c r="A215" s="76" t="s">
        <v>2055</v>
      </c>
      <c r="B215" s="76" t="s">
        <v>1235</v>
      </c>
      <c r="C215" s="76" t="s">
        <v>2056</v>
      </c>
      <c r="D215" s="76" t="s">
        <v>2056</v>
      </c>
      <c r="E215" s="76" t="s">
        <v>1383</v>
      </c>
      <c r="F215" s="76" t="s">
        <v>2049</v>
      </c>
      <c r="G215" s="76" t="s">
        <v>1247</v>
      </c>
      <c r="AU215" s="74" t="s">
        <v>2057</v>
      </c>
    </row>
    <row r="216" spans="1:47" hidden="1" x14ac:dyDescent="0.3">
      <c r="A216" s="76" t="s">
        <v>2058</v>
      </c>
      <c r="B216" s="76" t="s">
        <v>1236</v>
      </c>
      <c r="C216" s="76" t="s">
        <v>952</v>
      </c>
      <c r="D216" s="76" t="s">
        <v>952</v>
      </c>
      <c r="E216" s="76" t="s">
        <v>1368</v>
      </c>
      <c r="F216" s="76" t="s">
        <v>2045</v>
      </c>
      <c r="G216" s="76" t="s">
        <v>9</v>
      </c>
      <c r="AU216" s="74" t="s">
        <v>2059</v>
      </c>
    </row>
    <row r="217" spans="1:47" hidden="1" x14ac:dyDescent="0.3">
      <c r="A217" s="76" t="s">
        <v>2060</v>
      </c>
      <c r="B217" s="76" t="s">
        <v>2061</v>
      </c>
      <c r="C217" s="76" t="s">
        <v>2062</v>
      </c>
      <c r="D217" s="76" t="s">
        <v>2062</v>
      </c>
      <c r="E217" s="76" t="s">
        <v>1368</v>
      </c>
      <c r="F217" s="76" t="s">
        <v>2045</v>
      </c>
      <c r="G217" s="76" t="s">
        <v>9</v>
      </c>
      <c r="AU217" s="74" t="s">
        <v>2063</v>
      </c>
    </row>
    <row r="218" spans="1:47" hidden="1" x14ac:dyDescent="0.3">
      <c r="A218" s="76" t="s">
        <v>2049</v>
      </c>
      <c r="B218" s="76" t="s">
        <v>1247</v>
      </c>
      <c r="C218" s="76" t="s">
        <v>2064</v>
      </c>
      <c r="D218" s="76" t="s">
        <v>2064</v>
      </c>
      <c r="E218" s="76" t="s">
        <v>1383</v>
      </c>
      <c r="F218" s="76" t="s">
        <v>2045</v>
      </c>
      <c r="G218" s="76" t="s">
        <v>9</v>
      </c>
      <c r="AU218" s="74" t="s">
        <v>2065</v>
      </c>
    </row>
    <row r="219" spans="1:47" hidden="1" x14ac:dyDescent="0.3">
      <c r="A219" s="76" t="s">
        <v>2066</v>
      </c>
      <c r="B219" s="76" t="s">
        <v>2067</v>
      </c>
      <c r="C219" s="76" t="s">
        <v>956</v>
      </c>
      <c r="D219" s="76" t="s">
        <v>956</v>
      </c>
      <c r="E219" s="76" t="s">
        <v>1368</v>
      </c>
      <c r="F219" s="76" t="s">
        <v>2045</v>
      </c>
      <c r="G219" s="76" t="s">
        <v>9</v>
      </c>
      <c r="AU219" s="74" t="s">
        <v>2068</v>
      </c>
    </row>
    <row r="220" spans="1:47" hidden="1" x14ac:dyDescent="0.3">
      <c r="A220" s="76" t="s">
        <v>2069</v>
      </c>
      <c r="B220" s="76" t="s">
        <v>1237</v>
      </c>
      <c r="C220" s="76" t="s">
        <v>2070</v>
      </c>
      <c r="D220" s="76" t="s">
        <v>2070</v>
      </c>
      <c r="E220" s="76" t="s">
        <v>1656</v>
      </c>
      <c r="F220" s="76" t="s">
        <v>2045</v>
      </c>
      <c r="G220" s="76" t="s">
        <v>9</v>
      </c>
      <c r="AU220" s="74" t="s">
        <v>2071</v>
      </c>
    </row>
    <row r="221" spans="1:47" hidden="1" x14ac:dyDescent="0.3">
      <c r="A221" s="76" t="s">
        <v>2072</v>
      </c>
      <c r="B221" s="76" t="s">
        <v>2073</v>
      </c>
      <c r="C221" s="76" t="s">
        <v>2074</v>
      </c>
      <c r="D221" s="76" t="s">
        <v>2074</v>
      </c>
      <c r="E221" s="76" t="s">
        <v>1383</v>
      </c>
      <c r="F221" s="76" t="s">
        <v>2049</v>
      </c>
      <c r="G221" s="76" t="s">
        <v>1247</v>
      </c>
      <c r="AU221" s="74" t="s">
        <v>2075</v>
      </c>
    </row>
    <row r="222" spans="1:47" hidden="1" x14ac:dyDescent="0.3">
      <c r="A222" s="76" t="s">
        <v>2053</v>
      </c>
      <c r="B222" s="76" t="s">
        <v>1248</v>
      </c>
      <c r="C222" s="76" t="s">
        <v>2076</v>
      </c>
      <c r="D222" s="76" t="s">
        <v>2076</v>
      </c>
      <c r="E222" s="76" t="s">
        <v>1383</v>
      </c>
      <c r="F222" s="76" t="s">
        <v>2045</v>
      </c>
      <c r="G222" s="76" t="s">
        <v>9</v>
      </c>
      <c r="AU222" s="74" t="s">
        <v>2077</v>
      </c>
    </row>
    <row r="223" spans="1:47" hidden="1" x14ac:dyDescent="0.3">
      <c r="A223" s="76" t="s">
        <v>2078</v>
      </c>
      <c r="B223" s="76" t="s">
        <v>1238</v>
      </c>
      <c r="C223" s="76" t="s">
        <v>2079</v>
      </c>
      <c r="D223" s="76" t="s">
        <v>2079</v>
      </c>
      <c r="E223" s="76" t="s">
        <v>1355</v>
      </c>
      <c r="F223" s="76" t="s">
        <v>2053</v>
      </c>
      <c r="G223" s="76" t="s">
        <v>1248</v>
      </c>
      <c r="AU223" s="74" t="s">
        <v>2080</v>
      </c>
    </row>
    <row r="224" spans="1:47" hidden="1" x14ac:dyDescent="0.3">
      <c r="A224" s="76" t="s">
        <v>2081</v>
      </c>
      <c r="B224" s="76" t="s">
        <v>2082</v>
      </c>
      <c r="C224" s="76" t="s">
        <v>2083</v>
      </c>
      <c r="D224" s="76" t="s">
        <v>2083</v>
      </c>
      <c r="E224" s="76" t="s">
        <v>1368</v>
      </c>
      <c r="F224" s="76" t="s">
        <v>2045</v>
      </c>
      <c r="G224" s="76" t="s">
        <v>9</v>
      </c>
      <c r="AU224" s="74" t="s">
        <v>2084</v>
      </c>
    </row>
    <row r="225" spans="1:47" hidden="1" x14ac:dyDescent="0.3">
      <c r="A225" s="76" t="s">
        <v>2085</v>
      </c>
      <c r="B225" s="76" t="s">
        <v>1239</v>
      </c>
      <c r="C225" s="76" t="s">
        <v>2086</v>
      </c>
      <c r="D225" s="76" t="s">
        <v>2086</v>
      </c>
      <c r="E225" s="76" t="s">
        <v>1355</v>
      </c>
      <c r="F225" s="76" t="s">
        <v>2053</v>
      </c>
      <c r="G225" s="76" t="s">
        <v>1248</v>
      </c>
      <c r="AU225" s="74" t="s">
        <v>2087</v>
      </c>
    </row>
    <row r="226" spans="1:47" hidden="1" x14ac:dyDescent="0.3">
      <c r="A226" s="76" t="s">
        <v>2088</v>
      </c>
      <c r="B226" s="76" t="s">
        <v>2089</v>
      </c>
      <c r="C226" s="76" t="s">
        <v>889</v>
      </c>
      <c r="D226" s="76" t="s">
        <v>889</v>
      </c>
      <c r="E226" s="76" t="s">
        <v>1368</v>
      </c>
      <c r="F226" s="76" t="s">
        <v>2045</v>
      </c>
      <c r="G226" s="76" t="s">
        <v>9</v>
      </c>
      <c r="AU226" s="74" t="s">
        <v>2090</v>
      </c>
    </row>
    <row r="227" spans="1:47" hidden="1" x14ac:dyDescent="0.3">
      <c r="A227" s="76" t="s">
        <v>2091</v>
      </c>
      <c r="B227" s="76" t="s">
        <v>1240</v>
      </c>
      <c r="C227" s="76" t="s">
        <v>2092</v>
      </c>
      <c r="D227" s="76" t="s">
        <v>2092</v>
      </c>
      <c r="E227" s="76" t="s">
        <v>1355</v>
      </c>
      <c r="F227" s="76" t="s">
        <v>2053</v>
      </c>
      <c r="G227" s="76" t="s">
        <v>1248</v>
      </c>
      <c r="AU227" s="74" t="s">
        <v>2093</v>
      </c>
    </row>
    <row r="228" spans="1:47" hidden="1" x14ac:dyDescent="0.3">
      <c r="A228" s="76" t="s">
        <v>2094</v>
      </c>
      <c r="B228" s="76" t="s">
        <v>1241</v>
      </c>
      <c r="C228" s="76" t="s">
        <v>2095</v>
      </c>
      <c r="D228" s="76" t="s">
        <v>2095</v>
      </c>
      <c r="E228" s="76" t="s">
        <v>1355</v>
      </c>
      <c r="F228" s="76" t="s">
        <v>2049</v>
      </c>
      <c r="G228" s="76" t="s">
        <v>1247</v>
      </c>
      <c r="AU228" s="74" t="s">
        <v>2096</v>
      </c>
    </row>
    <row r="229" spans="1:47" hidden="1" x14ac:dyDescent="0.3">
      <c r="A229" s="76" t="s">
        <v>2097</v>
      </c>
      <c r="B229" s="76" t="s">
        <v>1242</v>
      </c>
      <c r="C229" s="76" t="s">
        <v>2098</v>
      </c>
      <c r="D229" s="76" t="s">
        <v>2098</v>
      </c>
      <c r="E229" s="76" t="s">
        <v>1355</v>
      </c>
      <c r="F229" s="76" t="s">
        <v>2053</v>
      </c>
      <c r="G229" s="76" t="s">
        <v>1248</v>
      </c>
      <c r="AU229" s="74" t="s">
        <v>2099</v>
      </c>
    </row>
    <row r="230" spans="1:47" hidden="1" x14ac:dyDescent="0.3">
      <c r="A230" s="76" t="s">
        <v>2100</v>
      </c>
      <c r="B230" s="76" t="s">
        <v>1243</v>
      </c>
      <c r="C230" s="76" t="s">
        <v>2101</v>
      </c>
      <c r="D230" s="76" t="s">
        <v>2101</v>
      </c>
      <c r="E230" s="76" t="s">
        <v>1355</v>
      </c>
      <c r="F230" s="76" t="s">
        <v>2053</v>
      </c>
      <c r="G230" s="76" t="s">
        <v>1248</v>
      </c>
      <c r="AU230" s="74" t="s">
        <v>2102</v>
      </c>
    </row>
    <row r="231" spans="1:47" hidden="1" x14ac:dyDescent="0.3">
      <c r="A231" s="76" t="s">
        <v>2103</v>
      </c>
      <c r="B231" s="76" t="s">
        <v>1244</v>
      </c>
      <c r="C231" s="76" t="s">
        <v>2104</v>
      </c>
      <c r="D231" s="76" t="s">
        <v>2104</v>
      </c>
      <c r="E231" s="76" t="s">
        <v>1355</v>
      </c>
      <c r="F231" s="76" t="s">
        <v>2053</v>
      </c>
      <c r="G231" s="76" t="s">
        <v>1248</v>
      </c>
      <c r="AU231" s="74" t="s">
        <v>2105</v>
      </c>
    </row>
    <row r="232" spans="1:47" hidden="1" x14ac:dyDescent="0.3">
      <c r="A232" s="76" t="s">
        <v>2106</v>
      </c>
      <c r="B232" s="76" t="s">
        <v>1245</v>
      </c>
      <c r="C232" s="76" t="s">
        <v>2107</v>
      </c>
      <c r="D232" s="76" t="s">
        <v>2107</v>
      </c>
      <c r="E232" s="76" t="s">
        <v>1383</v>
      </c>
      <c r="F232" s="76" t="s">
        <v>2045</v>
      </c>
      <c r="G232" s="76" t="s">
        <v>9</v>
      </c>
      <c r="AU232" s="74" t="s">
        <v>2108</v>
      </c>
    </row>
    <row r="233" spans="1:47" hidden="1" x14ac:dyDescent="0.3">
      <c r="A233" s="76" t="s">
        <v>2109</v>
      </c>
      <c r="B233" s="76" t="s">
        <v>2110</v>
      </c>
      <c r="C233" s="76" t="s">
        <v>2111</v>
      </c>
      <c r="D233" s="76" t="s">
        <v>2111</v>
      </c>
      <c r="E233" s="76" t="s">
        <v>1376</v>
      </c>
      <c r="F233" s="76" t="s">
        <v>2045</v>
      </c>
      <c r="G233" s="76" t="s">
        <v>9</v>
      </c>
      <c r="AU233" s="74" t="s">
        <v>2112</v>
      </c>
    </row>
    <row r="234" spans="1:47" hidden="1" x14ac:dyDescent="0.3">
      <c r="A234" s="76" t="s">
        <v>2113</v>
      </c>
      <c r="B234" s="76" t="s">
        <v>1246</v>
      </c>
      <c r="C234" s="76" t="s">
        <v>2114</v>
      </c>
      <c r="D234" s="76" t="s">
        <v>2114</v>
      </c>
      <c r="E234" s="76" t="s">
        <v>1383</v>
      </c>
      <c r="F234" s="76" t="s">
        <v>2045</v>
      </c>
      <c r="G234" s="76" t="s">
        <v>9</v>
      </c>
      <c r="AU234" s="74" t="s">
        <v>2115</v>
      </c>
    </row>
    <row r="235" spans="1:47" hidden="1" x14ac:dyDescent="0.3">
      <c r="A235" s="76" t="s">
        <v>2116</v>
      </c>
      <c r="B235" s="76" t="s">
        <v>2117</v>
      </c>
      <c r="C235" s="76" t="s">
        <v>2118</v>
      </c>
      <c r="D235" s="76" t="s">
        <v>2118</v>
      </c>
      <c r="E235" s="76" t="s">
        <v>2119</v>
      </c>
      <c r="F235" s="76" t="s">
        <v>2045</v>
      </c>
      <c r="G235" s="76" t="s">
        <v>9</v>
      </c>
      <c r="AU235" s="74" t="s">
        <v>2120</v>
      </c>
    </row>
    <row r="236" spans="1:47" hidden="1" x14ac:dyDescent="0.3">
      <c r="A236" s="76" t="s">
        <v>2121</v>
      </c>
      <c r="B236" s="76" t="s">
        <v>2122</v>
      </c>
      <c r="C236" s="76" t="s">
        <v>2123</v>
      </c>
      <c r="D236" s="76" t="s">
        <v>2123</v>
      </c>
      <c r="E236" s="76" t="s">
        <v>1368</v>
      </c>
      <c r="F236" s="76" t="s">
        <v>2045</v>
      </c>
      <c r="G236" s="76" t="s">
        <v>9</v>
      </c>
      <c r="AU236" s="74" t="s">
        <v>2124</v>
      </c>
    </row>
    <row r="237" spans="1:47" hidden="1" x14ac:dyDescent="0.3">
      <c r="A237" s="76" t="s">
        <v>2125</v>
      </c>
      <c r="B237" s="76" t="s">
        <v>2126</v>
      </c>
      <c r="C237" s="76" t="s">
        <v>2127</v>
      </c>
      <c r="D237" s="76" t="s">
        <v>2127</v>
      </c>
      <c r="E237" s="76" t="s">
        <v>1532</v>
      </c>
      <c r="F237" s="76" t="s">
        <v>1350</v>
      </c>
      <c r="G237" s="76" t="s">
        <v>1351</v>
      </c>
      <c r="AU237" s="74" t="s">
        <v>2128</v>
      </c>
    </row>
    <row r="238" spans="1:47" hidden="1" x14ac:dyDescent="0.3">
      <c r="A238" s="76" t="s">
        <v>2129</v>
      </c>
      <c r="B238" s="76" t="s">
        <v>2130</v>
      </c>
      <c r="C238" s="76" t="s">
        <v>2131</v>
      </c>
      <c r="D238" s="76" t="s">
        <v>2131</v>
      </c>
      <c r="E238" s="76" t="s">
        <v>2132</v>
      </c>
      <c r="F238" s="76" t="s">
        <v>1350</v>
      </c>
      <c r="G238" s="76" t="s">
        <v>1351</v>
      </c>
      <c r="AU238" s="74" t="s">
        <v>2133</v>
      </c>
    </row>
    <row r="239" spans="1:47" x14ac:dyDescent="0.3">
      <c r="A239" s="76" t="s">
        <v>2134</v>
      </c>
      <c r="B239" s="76" t="s">
        <v>6</v>
      </c>
      <c r="C239" s="76" t="s">
        <v>778</v>
      </c>
      <c r="D239" s="76" t="s">
        <v>778</v>
      </c>
      <c r="E239" s="76" t="s">
        <v>752</v>
      </c>
      <c r="F239" s="76" t="s">
        <v>1350</v>
      </c>
      <c r="G239" s="76" t="s">
        <v>1351</v>
      </c>
      <c r="AU239" s="74" t="s">
        <v>2135</v>
      </c>
    </row>
    <row r="240" spans="1:47" x14ac:dyDescent="0.3">
      <c r="A240" s="76" t="s">
        <v>2136</v>
      </c>
      <c r="B240" s="76" t="s">
        <v>2137</v>
      </c>
      <c r="C240" s="76" t="s">
        <v>2138</v>
      </c>
      <c r="D240" s="76" t="s">
        <v>2891</v>
      </c>
      <c r="E240" s="76" t="s">
        <v>1542</v>
      </c>
      <c r="F240" s="76" t="s">
        <v>2139</v>
      </c>
      <c r="G240" s="76" t="s">
        <v>1255</v>
      </c>
      <c r="AU240" s="74" t="s">
        <v>2140</v>
      </c>
    </row>
    <row r="241" spans="1:47" x14ac:dyDescent="0.3">
      <c r="A241" s="76" t="s">
        <v>2141</v>
      </c>
      <c r="B241" s="76" t="s">
        <v>1249</v>
      </c>
      <c r="C241" s="76" t="s">
        <v>2142</v>
      </c>
      <c r="D241" s="76" t="s">
        <v>86</v>
      </c>
      <c r="E241" s="76" t="s">
        <v>1368</v>
      </c>
      <c r="F241" s="76" t="s">
        <v>2134</v>
      </c>
      <c r="G241" s="76" t="s">
        <v>6</v>
      </c>
      <c r="AU241" s="74" t="s">
        <v>2143</v>
      </c>
    </row>
    <row r="242" spans="1:47" x14ac:dyDescent="0.3">
      <c r="A242" s="76" t="s">
        <v>2144</v>
      </c>
      <c r="B242" s="76" t="s">
        <v>1257</v>
      </c>
      <c r="C242" s="76" t="s">
        <v>2145</v>
      </c>
      <c r="D242" s="76" t="s">
        <v>2892</v>
      </c>
      <c r="E242" s="76" t="s">
        <v>1542</v>
      </c>
      <c r="F242" s="76" t="s">
        <v>2134</v>
      </c>
      <c r="G242" s="76" t="s">
        <v>6</v>
      </c>
      <c r="AU242" s="74" t="s">
        <v>2146</v>
      </c>
    </row>
    <row r="243" spans="1:47" x14ac:dyDescent="0.3">
      <c r="A243" s="76" t="s">
        <v>2147</v>
      </c>
      <c r="B243" s="76" t="s">
        <v>1250</v>
      </c>
      <c r="C243" s="76" t="s">
        <v>2148</v>
      </c>
      <c r="D243" s="76" t="s">
        <v>2893</v>
      </c>
      <c r="E243" s="76" t="s">
        <v>1368</v>
      </c>
      <c r="F243" s="76" t="s">
        <v>2134</v>
      </c>
      <c r="G243" s="76" t="s">
        <v>6</v>
      </c>
      <c r="AU243" s="74" t="s">
        <v>2149</v>
      </c>
    </row>
    <row r="244" spans="1:47" x14ac:dyDescent="0.3">
      <c r="A244" s="76" t="s">
        <v>2150</v>
      </c>
      <c r="B244" s="76" t="s">
        <v>1251</v>
      </c>
      <c r="C244" s="76" t="s">
        <v>2151</v>
      </c>
      <c r="D244" s="76" t="s">
        <v>2894</v>
      </c>
      <c r="E244" s="76" t="s">
        <v>1383</v>
      </c>
      <c r="F244" s="76" t="s">
        <v>2134</v>
      </c>
      <c r="G244" s="76" t="s">
        <v>6</v>
      </c>
      <c r="AU244" s="74" t="s">
        <v>2152</v>
      </c>
    </row>
    <row r="245" spans="1:47" x14ac:dyDescent="0.3">
      <c r="A245" s="76" t="s">
        <v>2153</v>
      </c>
      <c r="B245" s="76" t="s">
        <v>2154</v>
      </c>
      <c r="C245" s="76" t="s">
        <v>2155</v>
      </c>
      <c r="D245" s="76" t="s">
        <v>2895</v>
      </c>
      <c r="E245" s="76" t="s">
        <v>1542</v>
      </c>
      <c r="F245" s="76" t="s">
        <v>2139</v>
      </c>
      <c r="G245" s="76" t="s">
        <v>1255</v>
      </c>
      <c r="AU245" s="74" t="s">
        <v>2156</v>
      </c>
    </row>
    <row r="246" spans="1:47" x14ac:dyDescent="0.3">
      <c r="A246" s="76" t="s">
        <v>2157</v>
      </c>
      <c r="B246" s="76" t="s">
        <v>1252</v>
      </c>
      <c r="C246" s="76" t="s">
        <v>2158</v>
      </c>
      <c r="D246" s="76" t="s">
        <v>2896</v>
      </c>
      <c r="E246" s="76" t="s">
        <v>1383</v>
      </c>
      <c r="F246" s="76" t="s">
        <v>2134</v>
      </c>
      <c r="G246" s="76" t="s">
        <v>6</v>
      </c>
      <c r="AU246" s="74" t="s">
        <v>2159</v>
      </c>
    </row>
    <row r="247" spans="1:47" x14ac:dyDescent="0.3">
      <c r="A247" s="76" t="s">
        <v>2160</v>
      </c>
      <c r="B247" s="76" t="s">
        <v>2161</v>
      </c>
      <c r="C247" s="76" t="s">
        <v>2162</v>
      </c>
      <c r="D247" s="76" t="s">
        <v>2897</v>
      </c>
      <c r="E247" s="76" t="s">
        <v>1542</v>
      </c>
      <c r="F247" s="76" t="s">
        <v>2139</v>
      </c>
      <c r="G247" s="76" t="s">
        <v>1255</v>
      </c>
      <c r="AU247" s="74" t="s">
        <v>2163</v>
      </c>
    </row>
    <row r="248" spans="1:47" x14ac:dyDescent="0.3">
      <c r="A248" s="76" t="s">
        <v>2164</v>
      </c>
      <c r="B248" s="76" t="s">
        <v>2165</v>
      </c>
      <c r="C248" s="76" t="s">
        <v>2166</v>
      </c>
      <c r="D248" s="76" t="s">
        <v>88</v>
      </c>
      <c r="E248" s="76" t="s">
        <v>1368</v>
      </c>
      <c r="F248" s="76" t="s">
        <v>2134</v>
      </c>
      <c r="G248" s="76" t="s">
        <v>6</v>
      </c>
      <c r="AU248" s="74" t="s">
        <v>2167</v>
      </c>
    </row>
    <row r="249" spans="1:47" x14ac:dyDescent="0.3">
      <c r="A249" s="76" t="s">
        <v>2168</v>
      </c>
      <c r="B249" s="76" t="s">
        <v>1253</v>
      </c>
      <c r="C249" s="76" t="s">
        <v>2169</v>
      </c>
      <c r="D249" s="76" t="s">
        <v>2898</v>
      </c>
      <c r="E249" s="76" t="s">
        <v>1383</v>
      </c>
      <c r="F249" s="76" t="s">
        <v>2134</v>
      </c>
      <c r="G249" s="76" t="s">
        <v>6</v>
      </c>
      <c r="AU249" s="74" t="s">
        <v>2170</v>
      </c>
    </row>
    <row r="250" spans="1:47" x14ac:dyDescent="0.3">
      <c r="A250" s="76" t="s">
        <v>2171</v>
      </c>
      <c r="B250" s="76" t="s">
        <v>2172</v>
      </c>
      <c r="C250" s="76" t="s">
        <v>2173</v>
      </c>
      <c r="D250" s="76" t="s">
        <v>2899</v>
      </c>
      <c r="E250" s="76" t="s">
        <v>1542</v>
      </c>
      <c r="F250" s="76" t="s">
        <v>2139</v>
      </c>
      <c r="G250" s="76" t="s">
        <v>1255</v>
      </c>
      <c r="AU250" s="74" t="s">
        <v>2174</v>
      </c>
    </row>
    <row r="251" spans="1:47" x14ac:dyDescent="0.3">
      <c r="A251" s="76" t="s">
        <v>2175</v>
      </c>
      <c r="B251" s="76" t="s">
        <v>2176</v>
      </c>
      <c r="C251" s="76" t="s">
        <v>2177</v>
      </c>
      <c r="D251" s="76" t="s">
        <v>2900</v>
      </c>
      <c r="E251" s="76" t="s">
        <v>1542</v>
      </c>
      <c r="F251" s="76" t="s">
        <v>2139</v>
      </c>
      <c r="G251" s="76" t="s">
        <v>1255</v>
      </c>
      <c r="AU251" s="74" t="s">
        <v>2178</v>
      </c>
    </row>
    <row r="252" spans="1:47" x14ac:dyDescent="0.3">
      <c r="A252" s="76" t="s">
        <v>2179</v>
      </c>
      <c r="B252" s="76" t="s">
        <v>2180</v>
      </c>
      <c r="C252" s="76" t="s">
        <v>2181</v>
      </c>
      <c r="D252" s="76" t="s">
        <v>922</v>
      </c>
      <c r="E252" s="76" t="s">
        <v>1368</v>
      </c>
      <c r="F252" s="76" t="s">
        <v>2134</v>
      </c>
      <c r="G252" s="76" t="s">
        <v>6</v>
      </c>
      <c r="AU252" s="74" t="s">
        <v>2182</v>
      </c>
    </row>
    <row r="253" spans="1:47" x14ac:dyDescent="0.3">
      <c r="A253" s="76" t="s">
        <v>2183</v>
      </c>
      <c r="B253" s="76" t="s">
        <v>1254</v>
      </c>
      <c r="C253" s="76" t="s">
        <v>2184</v>
      </c>
      <c r="D253" s="76" t="s">
        <v>2901</v>
      </c>
      <c r="E253" s="76" t="s">
        <v>1383</v>
      </c>
      <c r="F253" s="76" t="s">
        <v>2134</v>
      </c>
      <c r="G253" s="76" t="s">
        <v>6</v>
      </c>
      <c r="AU253" s="74" t="s">
        <v>2185</v>
      </c>
    </row>
    <row r="254" spans="1:47" x14ac:dyDescent="0.3">
      <c r="A254" s="76" t="s">
        <v>2139</v>
      </c>
      <c r="B254" s="76" t="s">
        <v>1255</v>
      </c>
      <c r="C254" s="76" t="s">
        <v>2186</v>
      </c>
      <c r="D254" s="76" t="s">
        <v>2902</v>
      </c>
      <c r="E254" s="76" t="s">
        <v>1383</v>
      </c>
      <c r="F254" s="76" t="s">
        <v>2134</v>
      </c>
      <c r="G254" s="76" t="s">
        <v>6</v>
      </c>
      <c r="AU254" s="74" t="s">
        <v>2187</v>
      </c>
    </row>
    <row r="255" spans="1:47" x14ac:dyDescent="0.3">
      <c r="A255" s="76" t="s">
        <v>2188</v>
      </c>
      <c r="B255" s="76" t="s">
        <v>2189</v>
      </c>
      <c r="C255" s="76" t="s">
        <v>2190</v>
      </c>
      <c r="D255" s="76" t="s">
        <v>2903</v>
      </c>
      <c r="E255" s="76" t="s">
        <v>1542</v>
      </c>
      <c r="F255" s="76" t="s">
        <v>2139</v>
      </c>
      <c r="G255" s="76" t="s">
        <v>1255</v>
      </c>
      <c r="AU255" s="74" t="s">
        <v>2191</v>
      </c>
    </row>
    <row r="256" spans="1:47" x14ac:dyDescent="0.3">
      <c r="A256" s="76" t="s">
        <v>2192</v>
      </c>
      <c r="B256" s="76" t="s">
        <v>2193</v>
      </c>
      <c r="C256" s="76" t="s">
        <v>2194</v>
      </c>
      <c r="D256" s="76" t="s">
        <v>2904</v>
      </c>
      <c r="E256" s="76" t="s">
        <v>1368</v>
      </c>
      <c r="F256" s="76" t="s">
        <v>2134</v>
      </c>
      <c r="G256" s="76" t="s">
        <v>6</v>
      </c>
      <c r="AU256" s="74" t="s">
        <v>2195</v>
      </c>
    </row>
    <row r="257" spans="1:47" x14ac:dyDescent="0.3">
      <c r="A257" s="76" t="s">
        <v>2196</v>
      </c>
      <c r="B257" s="76" t="s">
        <v>1258</v>
      </c>
      <c r="C257" s="76" t="s">
        <v>2197</v>
      </c>
      <c r="D257" s="76" t="s">
        <v>2885</v>
      </c>
      <c r="E257" s="76" t="s">
        <v>1383</v>
      </c>
      <c r="F257" s="76" t="s">
        <v>2134</v>
      </c>
      <c r="G257" s="76" t="s">
        <v>6</v>
      </c>
      <c r="AU257" s="74" t="s">
        <v>2198</v>
      </c>
    </row>
    <row r="258" spans="1:47" x14ac:dyDescent="0.3">
      <c r="A258" s="76" t="s">
        <v>2199</v>
      </c>
      <c r="B258" s="76" t="s">
        <v>1259</v>
      </c>
      <c r="C258" s="76" t="s">
        <v>2200</v>
      </c>
      <c r="D258" s="76" t="s">
        <v>2888</v>
      </c>
      <c r="E258" s="76" t="s">
        <v>1383</v>
      </c>
      <c r="F258" s="76" t="s">
        <v>2134</v>
      </c>
      <c r="G258" s="76" t="s">
        <v>6</v>
      </c>
      <c r="AU258" s="74" t="s">
        <v>2201</v>
      </c>
    </row>
    <row r="259" spans="1:47" x14ac:dyDescent="0.3">
      <c r="A259" s="76" t="s">
        <v>2202</v>
      </c>
      <c r="B259" s="76" t="s">
        <v>2203</v>
      </c>
      <c r="C259" s="76" t="s">
        <v>2204</v>
      </c>
      <c r="D259" s="76" t="s">
        <v>2905</v>
      </c>
      <c r="E259" s="76" t="s">
        <v>1542</v>
      </c>
      <c r="F259" s="76" t="s">
        <v>2139</v>
      </c>
      <c r="G259" s="76" t="s">
        <v>1255</v>
      </c>
      <c r="AU259" s="74" t="s">
        <v>2205</v>
      </c>
    </row>
    <row r="260" spans="1:47" x14ac:dyDescent="0.3">
      <c r="A260" s="76" t="s">
        <v>2206</v>
      </c>
      <c r="B260" s="76" t="s">
        <v>2207</v>
      </c>
      <c r="C260" s="76" t="s">
        <v>2208</v>
      </c>
      <c r="D260" s="76" t="s">
        <v>2906</v>
      </c>
      <c r="E260" s="76" t="s">
        <v>1542</v>
      </c>
      <c r="F260" s="76" t="s">
        <v>2139</v>
      </c>
      <c r="G260" s="76" t="s">
        <v>1255</v>
      </c>
      <c r="AU260" s="74" t="s">
        <v>2209</v>
      </c>
    </row>
    <row r="261" spans="1:47" x14ac:dyDescent="0.3">
      <c r="A261" s="76" t="s">
        <v>2210</v>
      </c>
      <c r="B261" s="76" t="s">
        <v>1256</v>
      </c>
      <c r="C261" s="76" t="s">
        <v>2211</v>
      </c>
      <c r="D261" s="76" t="s">
        <v>87</v>
      </c>
      <c r="E261" s="76" t="s">
        <v>1368</v>
      </c>
      <c r="F261" s="76" t="s">
        <v>2134</v>
      </c>
      <c r="G261" s="76" t="s">
        <v>6</v>
      </c>
      <c r="AU261" s="74" t="s">
        <v>2212</v>
      </c>
    </row>
    <row r="262" spans="1:47" hidden="1" x14ac:dyDescent="0.3">
      <c r="A262" s="76" t="s">
        <v>2213</v>
      </c>
      <c r="B262" s="76" t="s">
        <v>2214</v>
      </c>
      <c r="C262" s="76" t="s">
        <v>2215</v>
      </c>
      <c r="D262" s="76" t="s">
        <v>2215</v>
      </c>
      <c r="E262" s="76" t="s">
        <v>1368</v>
      </c>
      <c r="F262" s="76" t="s">
        <v>1350</v>
      </c>
      <c r="G262" s="76" t="s">
        <v>1351</v>
      </c>
      <c r="AU262" s="74" t="s">
        <v>2216</v>
      </c>
    </row>
    <row r="263" spans="1:47" hidden="1" x14ac:dyDescent="0.3">
      <c r="A263" s="76" t="s">
        <v>2217</v>
      </c>
      <c r="B263" s="76" t="s">
        <v>2218</v>
      </c>
      <c r="C263" s="76" t="s">
        <v>2219</v>
      </c>
      <c r="D263" s="76" t="s">
        <v>2219</v>
      </c>
      <c r="E263" s="76" t="s">
        <v>1368</v>
      </c>
      <c r="F263" s="76" t="s">
        <v>1350</v>
      </c>
      <c r="G263" s="76" t="s">
        <v>1351</v>
      </c>
      <c r="AU263" s="74" t="s">
        <v>2220</v>
      </c>
    </row>
    <row r="264" spans="1:47" hidden="1" x14ac:dyDescent="0.3">
      <c r="A264" s="76" t="s">
        <v>2221</v>
      </c>
      <c r="B264" s="76" t="s">
        <v>7</v>
      </c>
      <c r="C264" s="76" t="s">
        <v>779</v>
      </c>
      <c r="D264" s="76" t="s">
        <v>779</v>
      </c>
      <c r="E264" s="76" t="s">
        <v>752</v>
      </c>
      <c r="F264" s="76" t="s">
        <v>1350</v>
      </c>
      <c r="G264" s="76" t="s">
        <v>1351</v>
      </c>
      <c r="AU264" s="74" t="s">
        <v>2222</v>
      </c>
    </row>
    <row r="265" spans="1:47" hidden="1" x14ac:dyDescent="0.3">
      <c r="A265" s="76" t="s">
        <v>2223</v>
      </c>
      <c r="B265" s="76" t="s">
        <v>2224</v>
      </c>
      <c r="C265" s="76" t="s">
        <v>2225</v>
      </c>
      <c r="D265" s="76" t="s">
        <v>2225</v>
      </c>
      <c r="E265" s="76" t="s">
        <v>1368</v>
      </c>
      <c r="F265" s="76" t="s">
        <v>2221</v>
      </c>
      <c r="G265" s="76" t="s">
        <v>7</v>
      </c>
      <c r="AU265" s="74" t="s">
        <v>2226</v>
      </c>
    </row>
    <row r="266" spans="1:47" hidden="1" x14ac:dyDescent="0.3">
      <c r="A266" s="76" t="s">
        <v>2227</v>
      </c>
      <c r="B266" s="76" t="s">
        <v>1260</v>
      </c>
      <c r="C266" s="76" t="s">
        <v>2228</v>
      </c>
      <c r="D266" s="76" t="s">
        <v>2228</v>
      </c>
      <c r="E266" s="76" t="s">
        <v>1542</v>
      </c>
      <c r="F266" s="76" t="s">
        <v>2229</v>
      </c>
      <c r="G266" s="76" t="s">
        <v>1275</v>
      </c>
      <c r="AU266" s="74" t="s">
        <v>2230</v>
      </c>
    </row>
    <row r="267" spans="1:47" hidden="1" x14ac:dyDescent="0.3">
      <c r="A267" s="76" t="s">
        <v>2231</v>
      </c>
      <c r="B267" s="76" t="s">
        <v>1261</v>
      </c>
      <c r="C267" s="76" t="s">
        <v>2232</v>
      </c>
      <c r="D267" s="76" t="s">
        <v>2232</v>
      </c>
      <c r="E267" s="76" t="s">
        <v>1542</v>
      </c>
      <c r="F267" s="76" t="s">
        <v>2233</v>
      </c>
      <c r="G267" s="76" t="s">
        <v>2234</v>
      </c>
      <c r="AU267" s="74" t="s">
        <v>2235</v>
      </c>
    </row>
    <row r="268" spans="1:47" hidden="1" x14ac:dyDescent="0.3">
      <c r="A268" s="76" t="s">
        <v>2236</v>
      </c>
      <c r="B268" s="76" t="s">
        <v>2237</v>
      </c>
      <c r="C268" s="76" t="s">
        <v>2238</v>
      </c>
      <c r="D268" s="76" t="s">
        <v>2238</v>
      </c>
      <c r="E268" s="76" t="s">
        <v>1383</v>
      </c>
      <c r="F268" s="76" t="s">
        <v>2221</v>
      </c>
      <c r="G268" s="76" t="s">
        <v>7</v>
      </c>
      <c r="AU268" s="74" t="s">
        <v>2239</v>
      </c>
    </row>
    <row r="269" spans="1:47" hidden="1" x14ac:dyDescent="0.3">
      <c r="A269" s="76" t="s">
        <v>2240</v>
      </c>
      <c r="B269" s="76" t="s">
        <v>1262</v>
      </c>
      <c r="C269" s="76" t="s">
        <v>2241</v>
      </c>
      <c r="D269" s="76" t="s">
        <v>2241</v>
      </c>
      <c r="E269" s="76" t="s">
        <v>1542</v>
      </c>
      <c r="F269" s="76" t="s">
        <v>2242</v>
      </c>
      <c r="G269" s="76" t="s">
        <v>2243</v>
      </c>
      <c r="AU269" s="74" t="s">
        <v>2244</v>
      </c>
    </row>
    <row r="270" spans="1:47" hidden="1" x14ac:dyDescent="0.3">
      <c r="A270" s="76" t="s">
        <v>2245</v>
      </c>
      <c r="B270" s="76" t="s">
        <v>2246</v>
      </c>
      <c r="C270" s="76" t="s">
        <v>2247</v>
      </c>
      <c r="D270" s="76" t="s">
        <v>2247</v>
      </c>
      <c r="E270" s="76" t="s">
        <v>1368</v>
      </c>
      <c r="F270" s="76" t="s">
        <v>2221</v>
      </c>
      <c r="G270" s="76" t="s">
        <v>7</v>
      </c>
      <c r="AU270" s="74" t="s">
        <v>2248</v>
      </c>
    </row>
    <row r="271" spans="1:47" hidden="1" x14ac:dyDescent="0.3">
      <c r="A271" s="76" t="s">
        <v>2249</v>
      </c>
      <c r="B271" s="76" t="s">
        <v>1276</v>
      </c>
      <c r="C271" s="76" t="s">
        <v>2250</v>
      </c>
      <c r="D271" s="76" t="s">
        <v>2250</v>
      </c>
      <c r="E271" s="76" t="s">
        <v>1542</v>
      </c>
      <c r="F271" s="76" t="s">
        <v>2229</v>
      </c>
      <c r="G271" s="76" t="s">
        <v>1275</v>
      </c>
      <c r="AU271" s="74" t="s">
        <v>2251</v>
      </c>
    </row>
    <row r="272" spans="1:47" hidden="1" x14ac:dyDescent="0.3">
      <c r="A272" s="76" t="s">
        <v>2252</v>
      </c>
      <c r="B272" s="76" t="s">
        <v>1263</v>
      </c>
      <c r="C272" s="76" t="s">
        <v>2253</v>
      </c>
      <c r="D272" s="76" t="s">
        <v>2253</v>
      </c>
      <c r="E272" s="76" t="s">
        <v>1542</v>
      </c>
      <c r="F272" s="76" t="s">
        <v>2254</v>
      </c>
      <c r="G272" s="76" t="s">
        <v>2255</v>
      </c>
      <c r="AU272" s="74" t="s">
        <v>2256</v>
      </c>
    </row>
    <row r="273" spans="1:47" hidden="1" x14ac:dyDescent="0.3">
      <c r="A273" s="76" t="s">
        <v>2257</v>
      </c>
      <c r="B273" s="76" t="s">
        <v>1264</v>
      </c>
      <c r="C273" s="76" t="s">
        <v>2258</v>
      </c>
      <c r="D273" s="76" t="s">
        <v>2258</v>
      </c>
      <c r="E273" s="76" t="s">
        <v>1542</v>
      </c>
      <c r="F273" s="76" t="s">
        <v>2229</v>
      </c>
      <c r="G273" s="76" t="s">
        <v>1275</v>
      </c>
      <c r="AU273" s="74" t="s">
        <v>2259</v>
      </c>
    </row>
    <row r="274" spans="1:47" hidden="1" x14ac:dyDescent="0.3">
      <c r="A274" s="76" t="s">
        <v>2229</v>
      </c>
      <c r="B274" s="76" t="s">
        <v>1275</v>
      </c>
      <c r="C274" s="76" t="s">
        <v>2260</v>
      </c>
      <c r="D274" s="76" t="s">
        <v>2260</v>
      </c>
      <c r="E274" s="76" t="s">
        <v>1383</v>
      </c>
      <c r="F274" s="76" t="s">
        <v>2221</v>
      </c>
      <c r="G274" s="76" t="s">
        <v>7</v>
      </c>
      <c r="AU274" s="74" t="s">
        <v>2261</v>
      </c>
    </row>
    <row r="275" spans="1:47" hidden="1" x14ac:dyDescent="0.3">
      <c r="A275" s="76" t="s">
        <v>2262</v>
      </c>
      <c r="B275" s="76" t="s">
        <v>1265</v>
      </c>
      <c r="C275" s="76" t="s">
        <v>2263</v>
      </c>
      <c r="D275" s="76" t="s">
        <v>2263</v>
      </c>
      <c r="E275" s="76" t="s">
        <v>1542</v>
      </c>
      <c r="F275" s="76" t="s">
        <v>2254</v>
      </c>
      <c r="G275" s="76" t="s">
        <v>2255</v>
      </c>
      <c r="AU275" s="74" t="s">
        <v>2264</v>
      </c>
    </row>
    <row r="276" spans="1:47" hidden="1" x14ac:dyDescent="0.3">
      <c r="A276" s="76" t="s">
        <v>2265</v>
      </c>
      <c r="B276" s="76" t="s">
        <v>2266</v>
      </c>
      <c r="C276" s="76" t="s">
        <v>2267</v>
      </c>
      <c r="D276" s="76" t="s">
        <v>2267</v>
      </c>
      <c r="E276" s="76" t="s">
        <v>1368</v>
      </c>
      <c r="F276" s="76" t="s">
        <v>2221</v>
      </c>
      <c r="G276" s="76" t="s">
        <v>7</v>
      </c>
      <c r="AU276" s="74" t="s">
        <v>2268</v>
      </c>
    </row>
    <row r="277" spans="1:47" hidden="1" x14ac:dyDescent="0.3">
      <c r="A277" s="76" t="s">
        <v>2269</v>
      </c>
      <c r="B277" s="76" t="s">
        <v>1266</v>
      </c>
      <c r="C277" s="76" t="s">
        <v>2270</v>
      </c>
      <c r="D277" s="76" t="s">
        <v>2270</v>
      </c>
      <c r="E277" s="76" t="s">
        <v>1542</v>
      </c>
      <c r="F277" s="76" t="s">
        <v>2236</v>
      </c>
      <c r="G277" s="76" t="s">
        <v>2237</v>
      </c>
      <c r="AU277" s="74" t="s">
        <v>2271</v>
      </c>
    </row>
    <row r="278" spans="1:47" hidden="1" x14ac:dyDescent="0.3">
      <c r="A278" s="76" t="s">
        <v>2242</v>
      </c>
      <c r="B278" s="76" t="s">
        <v>2243</v>
      </c>
      <c r="C278" s="76" t="s">
        <v>2272</v>
      </c>
      <c r="D278" s="76" t="s">
        <v>2272</v>
      </c>
      <c r="E278" s="76" t="s">
        <v>1383</v>
      </c>
      <c r="F278" s="76" t="s">
        <v>2221</v>
      </c>
      <c r="G278" s="76" t="s">
        <v>7</v>
      </c>
      <c r="AU278" s="74" t="s">
        <v>2273</v>
      </c>
    </row>
    <row r="279" spans="1:47" hidden="1" x14ac:dyDescent="0.3">
      <c r="A279" s="76" t="s">
        <v>2274</v>
      </c>
      <c r="B279" s="76" t="s">
        <v>1267</v>
      </c>
      <c r="C279" s="76" t="s">
        <v>2275</v>
      </c>
      <c r="D279" s="76" t="s">
        <v>2275</v>
      </c>
      <c r="E279" s="76" t="s">
        <v>1542</v>
      </c>
      <c r="F279" s="76" t="s">
        <v>2242</v>
      </c>
      <c r="G279" s="76" t="s">
        <v>2243</v>
      </c>
      <c r="AU279" s="74" t="s">
        <v>2276</v>
      </c>
    </row>
    <row r="280" spans="1:47" hidden="1" x14ac:dyDescent="0.3">
      <c r="A280" s="76" t="s">
        <v>2277</v>
      </c>
      <c r="B280" s="76" t="s">
        <v>1268</v>
      </c>
      <c r="C280" s="76" t="s">
        <v>2278</v>
      </c>
      <c r="D280" s="76" t="s">
        <v>2278</v>
      </c>
      <c r="E280" s="76" t="s">
        <v>1542</v>
      </c>
      <c r="F280" s="76" t="s">
        <v>2254</v>
      </c>
      <c r="G280" s="76" t="s">
        <v>2255</v>
      </c>
      <c r="AU280" s="74" t="s">
        <v>2279</v>
      </c>
    </row>
    <row r="281" spans="1:47" hidden="1" x14ac:dyDescent="0.3">
      <c r="A281" s="76" t="s">
        <v>2280</v>
      </c>
      <c r="B281" s="76" t="s">
        <v>1269</v>
      </c>
      <c r="C281" s="76" t="s">
        <v>2281</v>
      </c>
      <c r="D281" s="76" t="s">
        <v>2281</v>
      </c>
      <c r="E281" s="76" t="s">
        <v>1542</v>
      </c>
      <c r="F281" s="76" t="s">
        <v>2236</v>
      </c>
      <c r="G281" s="76" t="s">
        <v>2237</v>
      </c>
      <c r="AU281" s="74" t="s">
        <v>2282</v>
      </c>
    </row>
    <row r="282" spans="1:47" hidden="1" x14ac:dyDescent="0.3">
      <c r="A282" s="76" t="s">
        <v>2283</v>
      </c>
      <c r="B282" s="76" t="s">
        <v>1270</v>
      </c>
      <c r="C282" s="76" t="s">
        <v>2284</v>
      </c>
      <c r="D282" s="76" t="s">
        <v>2284</v>
      </c>
      <c r="E282" s="76" t="s">
        <v>1383</v>
      </c>
      <c r="F282" s="76" t="s">
        <v>2221</v>
      </c>
      <c r="G282" s="76" t="s">
        <v>7</v>
      </c>
      <c r="AU282" s="74" t="s">
        <v>2285</v>
      </c>
    </row>
    <row r="283" spans="1:47" hidden="1" x14ac:dyDescent="0.3">
      <c r="A283" s="76" t="s">
        <v>2233</v>
      </c>
      <c r="B283" s="76" t="s">
        <v>2234</v>
      </c>
      <c r="C283" s="76" t="s">
        <v>2286</v>
      </c>
      <c r="D283" s="76" t="s">
        <v>2286</v>
      </c>
      <c r="E283" s="76" t="s">
        <v>1383</v>
      </c>
      <c r="F283" s="76" t="s">
        <v>2221</v>
      </c>
      <c r="G283" s="76" t="s">
        <v>7</v>
      </c>
      <c r="AU283" s="74" t="s">
        <v>2287</v>
      </c>
    </row>
    <row r="284" spans="1:47" hidden="1" x14ac:dyDescent="0.3">
      <c r="A284" s="76" t="s">
        <v>2288</v>
      </c>
      <c r="B284" s="76" t="s">
        <v>1271</v>
      </c>
      <c r="C284" s="76" t="s">
        <v>2289</v>
      </c>
      <c r="D284" s="76" t="s">
        <v>2289</v>
      </c>
      <c r="E284" s="76" t="s">
        <v>1542</v>
      </c>
      <c r="F284" s="76" t="s">
        <v>2283</v>
      </c>
      <c r="G284" s="76" t="s">
        <v>1270</v>
      </c>
      <c r="AU284" s="74" t="s">
        <v>2290</v>
      </c>
    </row>
    <row r="285" spans="1:47" hidden="1" x14ac:dyDescent="0.3">
      <c r="A285" s="76" t="s">
        <v>2291</v>
      </c>
      <c r="B285" s="76" t="s">
        <v>1272</v>
      </c>
      <c r="C285" s="76" t="s">
        <v>2292</v>
      </c>
      <c r="D285" s="76" t="s">
        <v>2292</v>
      </c>
      <c r="E285" s="76" t="s">
        <v>1542</v>
      </c>
      <c r="F285" s="76" t="s">
        <v>2283</v>
      </c>
      <c r="G285" s="76" t="s">
        <v>1270</v>
      </c>
      <c r="AU285" s="74" t="s">
        <v>2293</v>
      </c>
    </row>
    <row r="286" spans="1:47" hidden="1" x14ac:dyDescent="0.3">
      <c r="A286" s="76" t="s">
        <v>2294</v>
      </c>
      <c r="B286" s="76" t="s">
        <v>1273</v>
      </c>
      <c r="C286" s="76" t="s">
        <v>2295</v>
      </c>
      <c r="D286" s="76" t="s">
        <v>2295</v>
      </c>
      <c r="E286" s="76" t="s">
        <v>1542</v>
      </c>
      <c r="F286" s="76" t="s">
        <v>2233</v>
      </c>
      <c r="G286" s="76" t="s">
        <v>2234</v>
      </c>
      <c r="AU286" s="74" t="s">
        <v>2296</v>
      </c>
    </row>
    <row r="287" spans="1:47" hidden="1" x14ac:dyDescent="0.3">
      <c r="A287" s="76" t="s">
        <v>2254</v>
      </c>
      <c r="B287" s="76" t="s">
        <v>2255</v>
      </c>
      <c r="C287" s="76" t="s">
        <v>2297</v>
      </c>
      <c r="D287" s="76" t="s">
        <v>2297</v>
      </c>
      <c r="E287" s="76" t="s">
        <v>1383</v>
      </c>
      <c r="F287" s="76" t="s">
        <v>2221</v>
      </c>
      <c r="G287" s="76" t="s">
        <v>7</v>
      </c>
      <c r="AU287" s="74" t="s">
        <v>2298</v>
      </c>
    </row>
    <row r="288" spans="1:47" hidden="1" x14ac:dyDescent="0.3">
      <c r="A288" s="76" t="s">
        <v>2299</v>
      </c>
      <c r="B288" s="76" t="s">
        <v>2300</v>
      </c>
      <c r="C288" s="76" t="s">
        <v>2301</v>
      </c>
      <c r="D288" s="76" t="s">
        <v>2301</v>
      </c>
      <c r="E288" s="76" t="s">
        <v>1368</v>
      </c>
      <c r="F288" s="76" t="s">
        <v>2221</v>
      </c>
      <c r="G288" s="76" t="s">
        <v>7</v>
      </c>
      <c r="AU288" s="74" t="s">
        <v>2302</v>
      </c>
    </row>
    <row r="289" spans="1:47" hidden="1" x14ac:dyDescent="0.3">
      <c r="A289" s="76" t="s">
        <v>2303</v>
      </c>
      <c r="B289" s="76" t="s">
        <v>2304</v>
      </c>
      <c r="C289" s="76" t="s">
        <v>2305</v>
      </c>
      <c r="D289" s="76" t="s">
        <v>2305</v>
      </c>
      <c r="E289" s="76" t="s">
        <v>1368</v>
      </c>
      <c r="F289" s="76" t="s">
        <v>2221</v>
      </c>
      <c r="G289" s="76" t="s">
        <v>7</v>
      </c>
      <c r="AU289" s="74" t="s">
        <v>2306</v>
      </c>
    </row>
    <row r="290" spans="1:47" hidden="1" x14ac:dyDescent="0.3">
      <c r="A290" s="76" t="s">
        <v>2307</v>
      </c>
      <c r="B290" s="76" t="s">
        <v>1274</v>
      </c>
      <c r="C290" s="76" t="s">
        <v>2308</v>
      </c>
      <c r="D290" s="76" t="s">
        <v>2308</v>
      </c>
      <c r="E290" s="76" t="s">
        <v>1542</v>
      </c>
      <c r="F290" s="76" t="s">
        <v>2233</v>
      </c>
      <c r="G290" s="76" t="s">
        <v>2234</v>
      </c>
      <c r="AU290" s="74" t="s">
        <v>2309</v>
      </c>
    </row>
    <row r="291" spans="1:47" hidden="1" x14ac:dyDescent="0.3">
      <c r="A291" s="76" t="s">
        <v>2310</v>
      </c>
      <c r="B291" s="76" t="s">
        <v>738</v>
      </c>
      <c r="C291" s="76" t="s">
        <v>13</v>
      </c>
      <c r="D291" s="76" t="s">
        <v>13</v>
      </c>
      <c r="E291" s="76" t="s">
        <v>1376</v>
      </c>
      <c r="F291" s="76" t="s">
        <v>1350</v>
      </c>
      <c r="G291" s="76" t="s">
        <v>1351</v>
      </c>
      <c r="AU291" s="74" t="s">
        <v>2311</v>
      </c>
    </row>
    <row r="292" spans="1:47" hidden="1" x14ac:dyDescent="0.3">
      <c r="A292" s="76" t="s">
        <v>2312</v>
      </c>
      <c r="B292" s="76" t="s">
        <v>11</v>
      </c>
      <c r="C292" s="76" t="s">
        <v>783</v>
      </c>
      <c r="D292" s="76" t="s">
        <v>783</v>
      </c>
      <c r="E292" s="76" t="s">
        <v>752</v>
      </c>
      <c r="F292" s="76" t="s">
        <v>1350</v>
      </c>
      <c r="G292" s="76" t="s">
        <v>1351</v>
      </c>
      <c r="AU292" s="74" t="s">
        <v>2313</v>
      </c>
    </row>
    <row r="293" spans="1:47" hidden="1" x14ac:dyDescent="0.3">
      <c r="A293" s="76" t="s">
        <v>2314</v>
      </c>
      <c r="B293" s="76" t="s">
        <v>2315</v>
      </c>
      <c r="C293" s="76" t="s">
        <v>978</v>
      </c>
      <c r="D293" s="76" t="s">
        <v>978</v>
      </c>
      <c r="E293" s="76" t="s">
        <v>1368</v>
      </c>
      <c r="F293" s="76" t="s">
        <v>2312</v>
      </c>
      <c r="G293" s="76" t="s">
        <v>11</v>
      </c>
      <c r="AU293" s="74" t="s">
        <v>2316</v>
      </c>
    </row>
    <row r="294" spans="1:47" hidden="1" x14ac:dyDescent="0.3">
      <c r="A294" s="76" t="s">
        <v>2317</v>
      </c>
      <c r="B294" s="76" t="s">
        <v>1277</v>
      </c>
      <c r="C294" s="76" t="s">
        <v>2318</v>
      </c>
      <c r="D294" s="76" t="s">
        <v>2318</v>
      </c>
      <c r="E294" s="76" t="s">
        <v>1355</v>
      </c>
      <c r="F294" s="76" t="s">
        <v>2312</v>
      </c>
      <c r="G294" s="76" t="s">
        <v>11</v>
      </c>
      <c r="AU294" s="74" t="s">
        <v>2319</v>
      </c>
    </row>
    <row r="295" spans="1:47" hidden="1" x14ac:dyDescent="0.3">
      <c r="A295" s="76" t="s">
        <v>2320</v>
      </c>
      <c r="B295" s="76" t="s">
        <v>1278</v>
      </c>
      <c r="C295" s="76" t="s">
        <v>2321</v>
      </c>
      <c r="D295" s="76" t="s">
        <v>2321</v>
      </c>
      <c r="E295" s="76" t="s">
        <v>1355</v>
      </c>
      <c r="F295" s="76" t="s">
        <v>2312</v>
      </c>
      <c r="G295" s="76" t="s">
        <v>11</v>
      </c>
      <c r="AU295" s="74" t="s">
        <v>2322</v>
      </c>
    </row>
    <row r="296" spans="1:47" hidden="1" x14ac:dyDescent="0.3">
      <c r="A296" s="76" t="s">
        <v>2323</v>
      </c>
      <c r="B296" s="76" t="s">
        <v>2324</v>
      </c>
      <c r="C296" s="76" t="s">
        <v>984</v>
      </c>
      <c r="D296" s="76" t="s">
        <v>984</v>
      </c>
      <c r="E296" s="76" t="s">
        <v>1368</v>
      </c>
      <c r="F296" s="76" t="s">
        <v>2312</v>
      </c>
      <c r="G296" s="76" t="s">
        <v>11</v>
      </c>
      <c r="AU296" s="74" t="s">
        <v>2325</v>
      </c>
    </row>
    <row r="297" spans="1:47" hidden="1" x14ac:dyDescent="0.3">
      <c r="A297" s="76" t="s">
        <v>2326</v>
      </c>
      <c r="B297" s="76" t="s">
        <v>1279</v>
      </c>
      <c r="C297" s="76" t="s">
        <v>2327</v>
      </c>
      <c r="D297" s="76" t="s">
        <v>2327</v>
      </c>
      <c r="E297" s="76" t="s">
        <v>1355</v>
      </c>
      <c r="F297" s="76" t="s">
        <v>2312</v>
      </c>
      <c r="G297" s="76" t="s">
        <v>11</v>
      </c>
      <c r="AU297" s="74" t="s">
        <v>2328</v>
      </c>
    </row>
    <row r="298" spans="1:47" hidden="1" x14ac:dyDescent="0.3">
      <c r="A298" s="76" t="s">
        <v>2329</v>
      </c>
      <c r="B298" s="76" t="s">
        <v>2330</v>
      </c>
      <c r="C298" s="76" t="s">
        <v>2331</v>
      </c>
      <c r="D298" s="76" t="s">
        <v>2331</v>
      </c>
      <c r="E298" s="76" t="s">
        <v>1368</v>
      </c>
      <c r="F298" s="76" t="s">
        <v>2312</v>
      </c>
      <c r="G298" s="76" t="s">
        <v>11</v>
      </c>
      <c r="AU298" s="74" t="s">
        <v>2332</v>
      </c>
    </row>
    <row r="299" spans="1:47" hidden="1" x14ac:dyDescent="0.3">
      <c r="A299" s="76" t="s">
        <v>2333</v>
      </c>
      <c r="B299" s="76" t="s">
        <v>2334</v>
      </c>
      <c r="C299" s="76" t="s">
        <v>979</v>
      </c>
      <c r="D299" s="76" t="s">
        <v>979</v>
      </c>
      <c r="E299" s="76" t="s">
        <v>1368</v>
      </c>
      <c r="F299" s="76" t="s">
        <v>2312</v>
      </c>
      <c r="G299" s="76" t="s">
        <v>11</v>
      </c>
      <c r="AU299" s="74" t="s">
        <v>2335</v>
      </c>
    </row>
    <row r="300" spans="1:47" hidden="1" x14ac:dyDescent="0.3">
      <c r="A300" s="76" t="s">
        <v>2336</v>
      </c>
      <c r="B300" s="76" t="s">
        <v>1280</v>
      </c>
      <c r="C300" s="76" t="s">
        <v>2337</v>
      </c>
      <c r="D300" s="76" t="s">
        <v>2337</v>
      </c>
      <c r="E300" s="76" t="s">
        <v>1355</v>
      </c>
      <c r="F300" s="76" t="s">
        <v>2312</v>
      </c>
      <c r="G300" s="76" t="s">
        <v>11</v>
      </c>
      <c r="AU300" s="74" t="s">
        <v>2338</v>
      </c>
    </row>
    <row r="301" spans="1:47" hidden="1" x14ac:dyDescent="0.3">
      <c r="A301" s="76" t="s">
        <v>2339</v>
      </c>
      <c r="B301" s="76" t="s">
        <v>1281</v>
      </c>
      <c r="C301" s="76" t="s">
        <v>2340</v>
      </c>
      <c r="D301" s="76" t="s">
        <v>2340</v>
      </c>
      <c r="E301" s="76" t="s">
        <v>1355</v>
      </c>
      <c r="F301" s="76" t="s">
        <v>2312</v>
      </c>
      <c r="G301" s="76" t="s">
        <v>11</v>
      </c>
      <c r="AU301" s="74" t="s">
        <v>2341</v>
      </c>
    </row>
    <row r="302" spans="1:47" hidden="1" x14ac:dyDescent="0.3">
      <c r="A302" s="76" t="s">
        <v>2342</v>
      </c>
      <c r="B302" s="76" t="s">
        <v>1282</v>
      </c>
      <c r="C302" s="76" t="s">
        <v>2343</v>
      </c>
      <c r="D302" s="76" t="s">
        <v>2343</v>
      </c>
      <c r="E302" s="76" t="s">
        <v>1355</v>
      </c>
      <c r="F302" s="76" t="s">
        <v>2312</v>
      </c>
      <c r="G302" s="76" t="s">
        <v>11</v>
      </c>
      <c r="AU302" s="74" t="s">
        <v>2344</v>
      </c>
    </row>
    <row r="303" spans="1:47" hidden="1" x14ac:dyDescent="0.3">
      <c r="A303" s="76" t="s">
        <v>2345</v>
      </c>
      <c r="B303" s="76" t="s">
        <v>1283</v>
      </c>
      <c r="C303" s="76" t="s">
        <v>2346</v>
      </c>
      <c r="D303" s="76" t="s">
        <v>2346</v>
      </c>
      <c r="E303" s="76" t="s">
        <v>1355</v>
      </c>
      <c r="F303" s="76" t="s">
        <v>2312</v>
      </c>
      <c r="G303" s="76" t="s">
        <v>11</v>
      </c>
      <c r="AU303" s="74" t="s">
        <v>2347</v>
      </c>
    </row>
    <row r="304" spans="1:47" hidden="1" x14ac:dyDescent="0.3">
      <c r="A304" s="76" t="s">
        <v>2348</v>
      </c>
      <c r="B304" s="76" t="s">
        <v>1284</v>
      </c>
      <c r="C304" s="76" t="s">
        <v>2349</v>
      </c>
      <c r="D304" s="76" t="s">
        <v>2349</v>
      </c>
      <c r="E304" s="76" t="s">
        <v>1355</v>
      </c>
      <c r="F304" s="76" t="s">
        <v>2312</v>
      </c>
      <c r="G304" s="76" t="s">
        <v>11</v>
      </c>
      <c r="AU304" s="74" t="s">
        <v>2350</v>
      </c>
    </row>
    <row r="305" spans="1:47" hidden="1" x14ac:dyDescent="0.3">
      <c r="A305" s="76" t="s">
        <v>2351</v>
      </c>
      <c r="B305" s="76" t="s">
        <v>1285</v>
      </c>
      <c r="C305" s="76" t="s">
        <v>2352</v>
      </c>
      <c r="D305" s="76" t="s">
        <v>2352</v>
      </c>
      <c r="E305" s="76" t="s">
        <v>1355</v>
      </c>
      <c r="F305" s="76" t="s">
        <v>2312</v>
      </c>
      <c r="G305" s="76" t="s">
        <v>11</v>
      </c>
      <c r="AU305" s="74" t="s">
        <v>2353</v>
      </c>
    </row>
    <row r="306" spans="1:47" hidden="1" x14ac:dyDescent="0.3">
      <c r="A306" s="76" t="s">
        <v>2354</v>
      </c>
      <c r="B306" s="76" t="s">
        <v>2355</v>
      </c>
      <c r="C306" s="76" t="s">
        <v>986</v>
      </c>
      <c r="D306" s="76" t="s">
        <v>986</v>
      </c>
      <c r="E306" s="76" t="s">
        <v>1368</v>
      </c>
      <c r="F306" s="76" t="s">
        <v>2312</v>
      </c>
      <c r="G306" s="76" t="s">
        <v>11</v>
      </c>
      <c r="AU306" s="74" t="s">
        <v>2356</v>
      </c>
    </row>
    <row r="307" spans="1:47" hidden="1" x14ac:dyDescent="0.3">
      <c r="A307" s="76" t="s">
        <v>2357</v>
      </c>
      <c r="B307" s="76" t="s">
        <v>1286</v>
      </c>
      <c r="C307" s="76" t="s">
        <v>2358</v>
      </c>
      <c r="D307" s="76" t="s">
        <v>2358</v>
      </c>
      <c r="E307" s="76" t="s">
        <v>1355</v>
      </c>
      <c r="F307" s="76" t="s">
        <v>2312</v>
      </c>
      <c r="G307" s="76" t="s">
        <v>11</v>
      </c>
      <c r="AU307" s="74" t="s">
        <v>2359</v>
      </c>
    </row>
    <row r="308" spans="1:47" hidden="1" x14ac:dyDescent="0.3">
      <c r="A308" s="76" t="s">
        <v>2360</v>
      </c>
      <c r="B308" s="76" t="s">
        <v>2361</v>
      </c>
      <c r="C308" s="76" t="s">
        <v>2362</v>
      </c>
      <c r="D308" s="76" t="s">
        <v>2362</v>
      </c>
      <c r="E308" s="76" t="s">
        <v>1368</v>
      </c>
      <c r="F308" s="76" t="s">
        <v>1350</v>
      </c>
      <c r="G308" s="76" t="s">
        <v>1351</v>
      </c>
      <c r="AU308" s="74" t="s">
        <v>2363</v>
      </c>
    </row>
    <row r="309" spans="1:47" hidden="1" x14ac:dyDescent="0.3">
      <c r="A309" s="76" t="s">
        <v>2364</v>
      </c>
      <c r="B309" s="76" t="s">
        <v>8</v>
      </c>
      <c r="C309" s="76" t="s">
        <v>780</v>
      </c>
      <c r="D309" s="76" t="s">
        <v>780</v>
      </c>
      <c r="E309" s="76" t="s">
        <v>752</v>
      </c>
      <c r="F309" s="76" t="s">
        <v>1350</v>
      </c>
      <c r="G309" s="76" t="s">
        <v>1351</v>
      </c>
      <c r="AU309" s="74" t="s">
        <v>2365</v>
      </c>
    </row>
    <row r="310" spans="1:47" hidden="1" x14ac:dyDescent="0.3">
      <c r="A310" s="76" t="s">
        <v>2366</v>
      </c>
      <c r="B310" s="76" t="s">
        <v>1287</v>
      </c>
      <c r="C310" s="76" t="s">
        <v>2367</v>
      </c>
      <c r="D310" s="76" t="s">
        <v>2367</v>
      </c>
      <c r="E310" s="76" t="s">
        <v>1542</v>
      </c>
      <c r="F310" s="76" t="s">
        <v>2368</v>
      </c>
      <c r="G310" s="76" t="s">
        <v>1300</v>
      </c>
      <c r="AU310" s="74" t="s">
        <v>2369</v>
      </c>
    </row>
    <row r="311" spans="1:47" hidden="1" x14ac:dyDescent="0.3">
      <c r="A311" s="76" t="s">
        <v>2370</v>
      </c>
      <c r="B311" s="76" t="s">
        <v>1288</v>
      </c>
      <c r="C311" s="76" t="s">
        <v>2371</v>
      </c>
      <c r="D311" s="76" t="s">
        <v>2371</v>
      </c>
      <c r="E311" s="76" t="s">
        <v>1542</v>
      </c>
      <c r="F311" s="76" t="s">
        <v>2368</v>
      </c>
      <c r="G311" s="76" t="s">
        <v>1300</v>
      </c>
      <c r="AU311" s="74" t="s">
        <v>2372</v>
      </c>
    </row>
    <row r="312" spans="1:47" hidden="1" x14ac:dyDescent="0.3">
      <c r="A312" s="76" t="s">
        <v>2373</v>
      </c>
      <c r="B312" s="76" t="s">
        <v>1289</v>
      </c>
      <c r="C312" s="76" t="s">
        <v>2374</v>
      </c>
      <c r="D312" s="76" t="s">
        <v>2374</v>
      </c>
      <c r="E312" s="76" t="s">
        <v>1542</v>
      </c>
      <c r="F312" s="76" t="s">
        <v>2368</v>
      </c>
      <c r="G312" s="76" t="s">
        <v>1300</v>
      </c>
      <c r="AU312" s="74" t="s">
        <v>2375</v>
      </c>
    </row>
    <row r="313" spans="1:47" hidden="1" x14ac:dyDescent="0.3">
      <c r="A313" s="76" t="s">
        <v>2376</v>
      </c>
      <c r="B313" s="76" t="s">
        <v>1290</v>
      </c>
      <c r="C313" s="76" t="s">
        <v>2377</v>
      </c>
      <c r="D313" s="76" t="s">
        <v>2377</v>
      </c>
      <c r="E313" s="76" t="s">
        <v>1542</v>
      </c>
      <c r="F313" s="76" t="s">
        <v>2368</v>
      </c>
      <c r="G313" s="76" t="s">
        <v>1300</v>
      </c>
      <c r="AU313" s="74" t="s">
        <v>2378</v>
      </c>
    </row>
    <row r="314" spans="1:47" hidden="1" x14ac:dyDescent="0.3">
      <c r="A314" s="76" t="s">
        <v>2379</v>
      </c>
      <c r="B314" s="76" t="s">
        <v>1291</v>
      </c>
      <c r="C314" s="76" t="s">
        <v>2380</v>
      </c>
      <c r="D314" s="76" t="s">
        <v>2380</v>
      </c>
      <c r="E314" s="76" t="s">
        <v>1542</v>
      </c>
      <c r="F314" s="76" t="s">
        <v>2368</v>
      </c>
      <c r="G314" s="76" t="s">
        <v>1300</v>
      </c>
      <c r="AU314" s="74" t="s">
        <v>2381</v>
      </c>
    </row>
    <row r="315" spans="1:47" hidden="1" x14ac:dyDescent="0.3">
      <c r="A315" s="76" t="s">
        <v>2382</v>
      </c>
      <c r="B315" s="76" t="s">
        <v>1292</v>
      </c>
      <c r="C315" s="76" t="s">
        <v>2383</v>
      </c>
      <c r="D315" s="76" t="s">
        <v>2383</v>
      </c>
      <c r="E315" s="76" t="s">
        <v>1656</v>
      </c>
      <c r="F315" s="76" t="s">
        <v>2368</v>
      </c>
      <c r="G315" s="76" t="s">
        <v>1300</v>
      </c>
      <c r="AU315" s="74" t="s">
        <v>2384</v>
      </c>
    </row>
    <row r="316" spans="1:47" hidden="1" x14ac:dyDescent="0.3">
      <c r="A316" s="76" t="s">
        <v>2385</v>
      </c>
      <c r="B316" s="76" t="s">
        <v>1293</v>
      </c>
      <c r="C316" s="76" t="s">
        <v>2386</v>
      </c>
      <c r="D316" s="76" t="s">
        <v>2386</v>
      </c>
      <c r="E316" s="76" t="s">
        <v>1542</v>
      </c>
      <c r="F316" s="76" t="s">
        <v>2368</v>
      </c>
      <c r="G316" s="76" t="s">
        <v>1300</v>
      </c>
      <c r="AU316" s="74" t="s">
        <v>2387</v>
      </c>
    </row>
    <row r="317" spans="1:47" hidden="1" x14ac:dyDescent="0.3">
      <c r="A317" s="76" t="s">
        <v>2388</v>
      </c>
      <c r="B317" s="76" t="s">
        <v>1294</v>
      </c>
      <c r="C317" s="76" t="s">
        <v>2389</v>
      </c>
      <c r="D317" s="76" t="s">
        <v>2389</v>
      </c>
      <c r="E317" s="76" t="s">
        <v>1542</v>
      </c>
      <c r="F317" s="76" t="s">
        <v>2368</v>
      </c>
      <c r="G317" s="76" t="s">
        <v>1300</v>
      </c>
      <c r="AU317" s="74" t="s">
        <v>2390</v>
      </c>
    </row>
    <row r="318" spans="1:47" hidden="1" x14ac:dyDescent="0.3">
      <c r="A318" s="76" t="s">
        <v>2391</v>
      </c>
      <c r="B318" s="76" t="s">
        <v>1295</v>
      </c>
      <c r="C318" s="76" t="s">
        <v>2392</v>
      </c>
      <c r="D318" s="76" t="s">
        <v>2392</v>
      </c>
      <c r="E318" s="76" t="s">
        <v>1542</v>
      </c>
      <c r="F318" s="76" t="s">
        <v>2368</v>
      </c>
      <c r="G318" s="76" t="s">
        <v>1300</v>
      </c>
      <c r="AU318" s="74" t="s">
        <v>2393</v>
      </c>
    </row>
    <row r="319" spans="1:47" hidden="1" x14ac:dyDescent="0.3">
      <c r="A319" s="76" t="s">
        <v>2394</v>
      </c>
      <c r="B319" s="76" t="s">
        <v>1296</v>
      </c>
      <c r="C319" s="76" t="s">
        <v>2395</v>
      </c>
      <c r="D319" s="76" t="s">
        <v>2395</v>
      </c>
      <c r="E319" s="76" t="s">
        <v>1542</v>
      </c>
      <c r="F319" s="76" t="s">
        <v>2368</v>
      </c>
      <c r="G319" s="76" t="s">
        <v>1300</v>
      </c>
      <c r="AU319" s="74" t="s">
        <v>2396</v>
      </c>
    </row>
    <row r="320" spans="1:47" hidden="1" x14ac:dyDescent="0.3">
      <c r="A320" s="76" t="s">
        <v>2397</v>
      </c>
      <c r="B320" s="76" t="s">
        <v>1297</v>
      </c>
      <c r="C320" s="76" t="s">
        <v>2398</v>
      </c>
      <c r="D320" s="76" t="s">
        <v>2398</v>
      </c>
      <c r="E320" s="76" t="s">
        <v>1542</v>
      </c>
      <c r="F320" s="76" t="s">
        <v>2368</v>
      </c>
      <c r="G320" s="76" t="s">
        <v>1300</v>
      </c>
      <c r="AU320" s="74" t="s">
        <v>2399</v>
      </c>
    </row>
    <row r="321" spans="1:47" hidden="1" x14ac:dyDescent="0.3">
      <c r="A321" s="76" t="s">
        <v>2400</v>
      </c>
      <c r="B321" s="76" t="s">
        <v>1298</v>
      </c>
      <c r="C321" s="76" t="s">
        <v>2401</v>
      </c>
      <c r="D321" s="76" t="s">
        <v>2401</v>
      </c>
      <c r="E321" s="76" t="s">
        <v>1542</v>
      </c>
      <c r="F321" s="76" t="s">
        <v>2368</v>
      </c>
      <c r="G321" s="76" t="s">
        <v>1300</v>
      </c>
      <c r="AU321" s="74" t="s">
        <v>2402</v>
      </c>
    </row>
    <row r="322" spans="1:47" hidden="1" x14ac:dyDescent="0.3">
      <c r="A322" s="76" t="s">
        <v>2403</v>
      </c>
      <c r="B322" s="76" t="s">
        <v>1299</v>
      </c>
      <c r="C322" s="76" t="s">
        <v>2404</v>
      </c>
      <c r="D322" s="76" t="s">
        <v>2404</v>
      </c>
      <c r="E322" s="76" t="s">
        <v>1542</v>
      </c>
      <c r="F322" s="76" t="s">
        <v>2368</v>
      </c>
      <c r="G322" s="76" t="s">
        <v>1300</v>
      </c>
      <c r="AU322" s="74" t="s">
        <v>2405</v>
      </c>
    </row>
    <row r="323" spans="1:47" hidden="1" x14ac:dyDescent="0.3">
      <c r="A323" s="76" t="s">
        <v>2368</v>
      </c>
      <c r="B323" s="76" t="s">
        <v>1300</v>
      </c>
      <c r="C323" s="76" t="s">
        <v>2406</v>
      </c>
      <c r="D323" s="76" t="s">
        <v>2406</v>
      </c>
      <c r="E323" s="76" t="s">
        <v>1383</v>
      </c>
      <c r="F323" s="76" t="s">
        <v>2364</v>
      </c>
      <c r="G323" s="76" t="s">
        <v>8</v>
      </c>
      <c r="AU323" s="74" t="s">
        <v>2407</v>
      </c>
    </row>
    <row r="324" spans="1:47" hidden="1" x14ac:dyDescent="0.3">
      <c r="A324" s="76" t="s">
        <v>2408</v>
      </c>
      <c r="B324" s="76" t="s">
        <v>1301</v>
      </c>
      <c r="C324" s="76" t="s">
        <v>2409</v>
      </c>
      <c r="D324" s="76" t="s">
        <v>2409</v>
      </c>
      <c r="E324" s="76" t="s">
        <v>1383</v>
      </c>
      <c r="F324" s="76" t="s">
        <v>2364</v>
      </c>
      <c r="G324" s="76" t="s">
        <v>8</v>
      </c>
      <c r="AU324" s="74" t="s">
        <v>2410</v>
      </c>
    </row>
    <row r="325" spans="1:47" hidden="1" x14ac:dyDescent="0.3">
      <c r="A325" s="76" t="s">
        <v>2411</v>
      </c>
      <c r="B325" s="76" t="s">
        <v>1302</v>
      </c>
      <c r="C325" s="76" t="s">
        <v>2412</v>
      </c>
      <c r="D325" s="76" t="s">
        <v>2412</v>
      </c>
      <c r="E325" s="76" t="s">
        <v>1542</v>
      </c>
      <c r="F325" s="76" t="s">
        <v>2413</v>
      </c>
      <c r="G325" s="76" t="s">
        <v>1305</v>
      </c>
      <c r="AU325" s="74" t="s">
        <v>2414</v>
      </c>
    </row>
    <row r="326" spans="1:47" hidden="1" x14ac:dyDescent="0.3">
      <c r="A326" s="76" t="s">
        <v>2415</v>
      </c>
      <c r="B326" s="76" t="s">
        <v>1303</v>
      </c>
      <c r="C326" s="76" t="s">
        <v>2416</v>
      </c>
      <c r="D326" s="76" t="s">
        <v>2416</v>
      </c>
      <c r="E326" s="76" t="s">
        <v>1355</v>
      </c>
      <c r="F326" s="76" t="s">
        <v>2413</v>
      </c>
      <c r="G326" s="76" t="s">
        <v>1305</v>
      </c>
      <c r="AU326" s="74" t="s">
        <v>2417</v>
      </c>
    </row>
    <row r="327" spans="1:47" hidden="1" x14ac:dyDescent="0.3">
      <c r="A327" s="76" t="s">
        <v>2418</v>
      </c>
      <c r="B327" s="76" t="s">
        <v>1304</v>
      </c>
      <c r="C327" s="76" t="s">
        <v>2419</v>
      </c>
      <c r="D327" s="76" t="s">
        <v>2419</v>
      </c>
      <c r="E327" s="76" t="s">
        <v>1355</v>
      </c>
      <c r="F327" s="76" t="s">
        <v>2413</v>
      </c>
      <c r="G327" s="76" t="s">
        <v>1305</v>
      </c>
      <c r="AU327" s="74" t="s">
        <v>2420</v>
      </c>
    </row>
    <row r="328" spans="1:47" hidden="1" x14ac:dyDescent="0.3">
      <c r="A328" s="76" t="s">
        <v>2421</v>
      </c>
      <c r="B328" s="76" t="s">
        <v>2422</v>
      </c>
      <c r="C328" s="76" t="s">
        <v>2423</v>
      </c>
      <c r="D328" s="76" t="s">
        <v>2423</v>
      </c>
      <c r="E328" s="76" t="s">
        <v>1656</v>
      </c>
      <c r="F328" s="76" t="s">
        <v>2424</v>
      </c>
      <c r="G328" s="76" t="s">
        <v>2425</v>
      </c>
      <c r="AU328" s="74" t="s">
        <v>2426</v>
      </c>
    </row>
    <row r="329" spans="1:47" hidden="1" x14ac:dyDescent="0.3">
      <c r="A329" s="76" t="s">
        <v>2424</v>
      </c>
      <c r="B329" s="76" t="s">
        <v>2425</v>
      </c>
      <c r="C329" s="76" t="s">
        <v>2427</v>
      </c>
      <c r="D329" s="76" t="s">
        <v>2427</v>
      </c>
      <c r="E329" s="76" t="s">
        <v>1376</v>
      </c>
      <c r="F329" s="76" t="s">
        <v>2408</v>
      </c>
      <c r="G329" s="76" t="s">
        <v>1301</v>
      </c>
      <c r="AU329" s="74" t="s">
        <v>2428</v>
      </c>
    </row>
    <row r="330" spans="1:47" hidden="1" x14ac:dyDescent="0.3">
      <c r="A330" s="76" t="s">
        <v>2413</v>
      </c>
      <c r="B330" s="76" t="s">
        <v>1305</v>
      </c>
      <c r="C330" s="76" t="s">
        <v>2429</v>
      </c>
      <c r="D330" s="76" t="s">
        <v>2429</v>
      </c>
      <c r="E330" s="76" t="s">
        <v>1376</v>
      </c>
      <c r="F330" s="76" t="s">
        <v>2408</v>
      </c>
      <c r="G330" s="76" t="s">
        <v>1301</v>
      </c>
      <c r="AU330" s="74" t="s">
        <v>2430</v>
      </c>
    </row>
    <row r="331" spans="1:47" hidden="1" x14ac:dyDescent="0.3">
      <c r="A331" s="76" t="s">
        <v>2431</v>
      </c>
      <c r="B331" s="76" t="s">
        <v>1306</v>
      </c>
      <c r="C331" s="76" t="s">
        <v>2432</v>
      </c>
      <c r="D331" s="76" t="s">
        <v>2432</v>
      </c>
      <c r="E331" s="76" t="s">
        <v>1355</v>
      </c>
      <c r="F331" s="76" t="s">
        <v>2413</v>
      </c>
      <c r="G331" s="76" t="s">
        <v>1305</v>
      </c>
      <c r="AU331" s="74" t="s">
        <v>2433</v>
      </c>
    </row>
    <row r="332" spans="1:47" hidden="1" x14ac:dyDescent="0.3">
      <c r="A332" s="76" t="s">
        <v>2434</v>
      </c>
      <c r="B332" s="76" t="s">
        <v>1307</v>
      </c>
      <c r="C332" s="76" t="s">
        <v>2435</v>
      </c>
      <c r="D332" s="76" t="s">
        <v>2435</v>
      </c>
      <c r="E332" s="76" t="s">
        <v>1355</v>
      </c>
      <c r="F332" s="76" t="s">
        <v>2424</v>
      </c>
      <c r="G332" s="76" t="s">
        <v>2425</v>
      </c>
      <c r="AU332" s="74" t="s">
        <v>2436</v>
      </c>
    </row>
    <row r="333" spans="1:47" hidden="1" x14ac:dyDescent="0.3">
      <c r="A333" s="76" t="s">
        <v>2437</v>
      </c>
      <c r="B333" s="76" t="s">
        <v>1308</v>
      </c>
      <c r="C333" s="76" t="s">
        <v>2438</v>
      </c>
      <c r="D333" s="76" t="s">
        <v>2438</v>
      </c>
      <c r="E333" s="76" t="s">
        <v>1355</v>
      </c>
      <c r="F333" s="76" t="s">
        <v>2413</v>
      </c>
      <c r="G333" s="76" t="s">
        <v>1305</v>
      </c>
      <c r="AU333" s="74" t="s">
        <v>2439</v>
      </c>
    </row>
    <row r="334" spans="1:47" hidden="1" x14ac:dyDescent="0.3">
      <c r="A334" s="76" t="s">
        <v>2440</v>
      </c>
      <c r="B334" s="76" t="s">
        <v>2441</v>
      </c>
      <c r="C334" s="76" t="s">
        <v>2442</v>
      </c>
      <c r="D334" s="76" t="s">
        <v>2442</v>
      </c>
      <c r="E334" s="76" t="s">
        <v>1368</v>
      </c>
      <c r="F334" s="76" t="s">
        <v>2413</v>
      </c>
      <c r="G334" s="76" t="s">
        <v>1305</v>
      </c>
      <c r="AU334" s="74" t="s">
        <v>2443</v>
      </c>
    </row>
    <row r="335" spans="1:47" hidden="1" x14ac:dyDescent="0.3">
      <c r="A335" s="76" t="s">
        <v>2444</v>
      </c>
      <c r="B335" s="76" t="s">
        <v>1309</v>
      </c>
      <c r="C335" s="76" t="s">
        <v>2445</v>
      </c>
      <c r="D335" s="76" t="s">
        <v>2445</v>
      </c>
      <c r="E335" s="76" t="s">
        <v>1355</v>
      </c>
      <c r="F335" s="76" t="s">
        <v>2413</v>
      </c>
      <c r="G335" s="76" t="s">
        <v>1305</v>
      </c>
      <c r="AU335" s="74" t="s">
        <v>2446</v>
      </c>
    </row>
    <row r="336" spans="1:47" hidden="1" x14ac:dyDescent="0.3">
      <c r="A336" s="76" t="s">
        <v>2447</v>
      </c>
      <c r="B336" s="76" t="s">
        <v>2448</v>
      </c>
      <c r="C336" s="76" t="s">
        <v>2449</v>
      </c>
      <c r="D336" s="76" t="s">
        <v>2449</v>
      </c>
      <c r="E336" s="76" t="s">
        <v>1913</v>
      </c>
      <c r="F336" s="76" t="s">
        <v>2413</v>
      </c>
      <c r="G336" s="76" t="s">
        <v>1305</v>
      </c>
      <c r="AU336" s="74" t="s">
        <v>2450</v>
      </c>
    </row>
    <row r="337" spans="1:47" hidden="1" x14ac:dyDescent="0.3">
      <c r="A337" s="76" t="s">
        <v>2451</v>
      </c>
      <c r="B337" s="76" t="s">
        <v>2452</v>
      </c>
      <c r="C337" s="76" t="s">
        <v>2453</v>
      </c>
      <c r="D337" s="76" t="s">
        <v>2453</v>
      </c>
      <c r="E337" s="76" t="s">
        <v>1656</v>
      </c>
      <c r="F337" s="76" t="s">
        <v>2413</v>
      </c>
      <c r="G337" s="76" t="s">
        <v>1305</v>
      </c>
      <c r="AU337" s="74" t="s">
        <v>2454</v>
      </c>
    </row>
    <row r="338" spans="1:47" hidden="1" x14ac:dyDescent="0.3">
      <c r="A338" s="76" t="s">
        <v>2455</v>
      </c>
      <c r="B338" s="76" t="s">
        <v>1310</v>
      </c>
      <c r="C338" s="76" t="s">
        <v>2456</v>
      </c>
      <c r="D338" s="76" t="s">
        <v>2456</v>
      </c>
      <c r="E338" s="76" t="s">
        <v>1355</v>
      </c>
      <c r="F338" s="76" t="s">
        <v>2413</v>
      </c>
      <c r="G338" s="76" t="s">
        <v>1305</v>
      </c>
      <c r="AU338" s="74" t="s">
        <v>2457</v>
      </c>
    </row>
    <row r="339" spans="1:47" hidden="1" x14ac:dyDescent="0.3">
      <c r="A339" s="76" t="s">
        <v>2458</v>
      </c>
      <c r="B339" s="76" t="s">
        <v>1311</v>
      </c>
      <c r="C339" s="76" t="s">
        <v>2459</v>
      </c>
      <c r="D339" s="76" t="s">
        <v>2459</v>
      </c>
      <c r="E339" s="76" t="s">
        <v>1355</v>
      </c>
      <c r="F339" s="76" t="s">
        <v>2424</v>
      </c>
      <c r="G339" s="76" t="s">
        <v>2425</v>
      </c>
      <c r="AU339" s="74" t="s">
        <v>2460</v>
      </c>
    </row>
    <row r="340" spans="1:47" hidden="1" x14ac:dyDescent="0.3">
      <c r="A340" s="76" t="s">
        <v>2461</v>
      </c>
      <c r="B340" s="76" t="s">
        <v>1312</v>
      </c>
      <c r="C340" s="76" t="s">
        <v>2462</v>
      </c>
      <c r="D340" s="76" t="s">
        <v>2462</v>
      </c>
      <c r="E340" s="76" t="s">
        <v>1355</v>
      </c>
      <c r="F340" s="76" t="s">
        <v>2424</v>
      </c>
      <c r="G340" s="76" t="s">
        <v>2425</v>
      </c>
      <c r="AU340" s="74" t="s">
        <v>2463</v>
      </c>
    </row>
    <row r="341" spans="1:47" hidden="1" x14ac:dyDescent="0.3">
      <c r="A341" s="76" t="s">
        <v>2464</v>
      </c>
      <c r="B341" s="76" t="s">
        <v>1313</v>
      </c>
      <c r="C341" s="76" t="s">
        <v>2465</v>
      </c>
      <c r="D341" s="76" t="s">
        <v>2465</v>
      </c>
      <c r="E341" s="76" t="s">
        <v>1355</v>
      </c>
      <c r="F341" s="76" t="s">
        <v>2424</v>
      </c>
      <c r="G341" s="76" t="s">
        <v>2425</v>
      </c>
      <c r="AU341" s="74" t="s">
        <v>2466</v>
      </c>
    </row>
    <row r="342" spans="1:47" hidden="1" x14ac:dyDescent="0.3">
      <c r="A342" s="76" t="s">
        <v>2467</v>
      </c>
      <c r="B342" s="76" t="s">
        <v>1314</v>
      </c>
      <c r="C342" s="76" t="s">
        <v>2468</v>
      </c>
      <c r="D342" s="76" t="s">
        <v>2468</v>
      </c>
      <c r="E342" s="76" t="s">
        <v>1913</v>
      </c>
      <c r="F342" s="76" t="s">
        <v>2413</v>
      </c>
      <c r="G342" s="76" t="s">
        <v>1305</v>
      </c>
      <c r="AU342" s="74" t="s">
        <v>2469</v>
      </c>
    </row>
    <row r="343" spans="1:47" hidden="1" x14ac:dyDescent="0.3">
      <c r="A343" s="76" t="s">
        <v>2470</v>
      </c>
      <c r="B343" s="76" t="s">
        <v>1315</v>
      </c>
      <c r="C343" s="76" t="s">
        <v>2471</v>
      </c>
      <c r="D343" s="76" t="s">
        <v>2471</v>
      </c>
      <c r="E343" s="76" t="s">
        <v>1542</v>
      </c>
      <c r="F343" s="76" t="s">
        <v>2472</v>
      </c>
      <c r="G343" s="76" t="s">
        <v>1320</v>
      </c>
      <c r="AU343" s="74" t="s">
        <v>2473</v>
      </c>
    </row>
    <row r="344" spans="1:47" hidden="1" x14ac:dyDescent="0.3">
      <c r="A344" s="76" t="s">
        <v>2474</v>
      </c>
      <c r="B344" s="76" t="s">
        <v>1316</v>
      </c>
      <c r="C344" s="76" t="s">
        <v>2475</v>
      </c>
      <c r="D344" s="76" t="s">
        <v>2475</v>
      </c>
      <c r="E344" s="76" t="s">
        <v>1542</v>
      </c>
      <c r="F344" s="76" t="s">
        <v>2472</v>
      </c>
      <c r="G344" s="76" t="s">
        <v>1320</v>
      </c>
      <c r="AU344" s="74" t="s">
        <v>2476</v>
      </c>
    </row>
    <row r="345" spans="1:47" hidden="1" x14ac:dyDescent="0.3">
      <c r="A345" s="76" t="s">
        <v>2477</v>
      </c>
      <c r="B345" s="76" t="s">
        <v>1317</v>
      </c>
      <c r="C345" s="76" t="s">
        <v>2478</v>
      </c>
      <c r="D345" s="76" t="s">
        <v>2478</v>
      </c>
      <c r="E345" s="76" t="s">
        <v>1542</v>
      </c>
      <c r="F345" s="76" t="s">
        <v>2472</v>
      </c>
      <c r="G345" s="76" t="s">
        <v>1320</v>
      </c>
      <c r="AU345" s="74" t="s">
        <v>2479</v>
      </c>
    </row>
    <row r="346" spans="1:47" hidden="1" x14ac:dyDescent="0.3">
      <c r="A346" s="76" t="s">
        <v>2480</v>
      </c>
      <c r="B346" s="76" t="s">
        <v>1318</v>
      </c>
      <c r="C346" s="76" t="s">
        <v>2481</v>
      </c>
      <c r="D346" s="76" t="s">
        <v>2481</v>
      </c>
      <c r="E346" s="76" t="s">
        <v>1542</v>
      </c>
      <c r="F346" s="76" t="s">
        <v>2472</v>
      </c>
      <c r="G346" s="76" t="s">
        <v>1320</v>
      </c>
      <c r="AU346" s="74" t="s">
        <v>2482</v>
      </c>
    </row>
    <row r="347" spans="1:47" hidden="1" x14ac:dyDescent="0.3">
      <c r="A347" s="76" t="s">
        <v>2483</v>
      </c>
      <c r="B347" s="76" t="s">
        <v>1319</v>
      </c>
      <c r="C347" s="76" t="s">
        <v>2484</v>
      </c>
      <c r="D347" s="76" t="s">
        <v>2484</v>
      </c>
      <c r="E347" s="76" t="s">
        <v>1542</v>
      </c>
      <c r="F347" s="76" t="s">
        <v>2472</v>
      </c>
      <c r="G347" s="76" t="s">
        <v>1320</v>
      </c>
      <c r="AU347" s="74" t="s">
        <v>2485</v>
      </c>
    </row>
    <row r="348" spans="1:47" hidden="1" x14ac:dyDescent="0.3">
      <c r="A348" s="76" t="s">
        <v>2472</v>
      </c>
      <c r="B348" s="76" t="s">
        <v>1320</v>
      </c>
      <c r="C348" s="76" t="s">
        <v>2486</v>
      </c>
      <c r="D348" s="76" t="s">
        <v>2486</v>
      </c>
      <c r="E348" s="76" t="s">
        <v>1383</v>
      </c>
      <c r="F348" s="76" t="s">
        <v>2364</v>
      </c>
      <c r="G348" s="76" t="s">
        <v>8</v>
      </c>
      <c r="AU348" s="74" t="s">
        <v>2487</v>
      </c>
    </row>
    <row r="349" spans="1:47" hidden="1" x14ac:dyDescent="0.3">
      <c r="A349" s="76" t="s">
        <v>2488</v>
      </c>
      <c r="B349" s="76" t="s">
        <v>2489</v>
      </c>
      <c r="C349" s="76" t="s">
        <v>2490</v>
      </c>
      <c r="D349" s="76" t="s">
        <v>2490</v>
      </c>
      <c r="E349" s="76" t="s">
        <v>1368</v>
      </c>
      <c r="F349" s="76" t="s">
        <v>2364</v>
      </c>
      <c r="G349" s="76" t="s">
        <v>8</v>
      </c>
      <c r="AU349" s="74" t="s">
        <v>2491</v>
      </c>
    </row>
    <row r="350" spans="1:47" hidden="1" x14ac:dyDescent="0.3">
      <c r="A350" s="76" t="s">
        <v>2492</v>
      </c>
      <c r="B350" s="76" t="s">
        <v>2493</v>
      </c>
      <c r="C350" s="76" t="s">
        <v>2494</v>
      </c>
      <c r="D350" s="76" t="s">
        <v>2494</v>
      </c>
      <c r="E350" s="76" t="s">
        <v>1368</v>
      </c>
      <c r="F350" s="76" t="s">
        <v>2364</v>
      </c>
      <c r="G350" s="76" t="s">
        <v>8</v>
      </c>
      <c r="AU350" s="74" t="s">
        <v>2495</v>
      </c>
    </row>
    <row r="351" spans="1:47" hidden="1" x14ac:dyDescent="0.3">
      <c r="A351" s="76" t="s">
        <v>2496</v>
      </c>
      <c r="B351" s="76" t="s">
        <v>2497</v>
      </c>
      <c r="C351" s="76" t="s">
        <v>2498</v>
      </c>
      <c r="D351" s="76" t="s">
        <v>2498</v>
      </c>
      <c r="E351" s="76" t="s">
        <v>1368</v>
      </c>
      <c r="F351" s="76" t="s">
        <v>2364</v>
      </c>
      <c r="G351" s="76" t="s">
        <v>8</v>
      </c>
      <c r="AU351" s="74" t="s">
        <v>2499</v>
      </c>
    </row>
    <row r="352" spans="1:47" hidden="1" x14ac:dyDescent="0.3">
      <c r="A352" s="76" t="s">
        <v>2500</v>
      </c>
      <c r="B352" s="76" t="s">
        <v>1321</v>
      </c>
      <c r="C352" s="76" t="s">
        <v>896</v>
      </c>
      <c r="D352" s="76" t="s">
        <v>896</v>
      </c>
      <c r="E352" s="76" t="s">
        <v>1368</v>
      </c>
      <c r="F352" s="76" t="s">
        <v>2364</v>
      </c>
      <c r="G352" s="76" t="s">
        <v>8</v>
      </c>
      <c r="AU352" s="74" t="s">
        <v>2501</v>
      </c>
    </row>
    <row r="353" spans="1:47" hidden="1" x14ac:dyDescent="0.3">
      <c r="A353" s="76" t="s">
        <v>2502</v>
      </c>
      <c r="B353" s="76" t="s">
        <v>1322</v>
      </c>
      <c r="C353" s="76" t="s">
        <v>2503</v>
      </c>
      <c r="D353" s="76" t="s">
        <v>2503</v>
      </c>
      <c r="E353" s="76" t="s">
        <v>1383</v>
      </c>
      <c r="F353" s="76" t="s">
        <v>2364</v>
      </c>
      <c r="G353" s="76" t="s">
        <v>8</v>
      </c>
      <c r="AU353" s="74" t="s">
        <v>2504</v>
      </c>
    </row>
    <row r="354" spans="1:47" hidden="1" x14ac:dyDescent="0.3">
      <c r="A354" s="76" t="s">
        <v>2505</v>
      </c>
      <c r="B354" s="76" t="s">
        <v>1323</v>
      </c>
      <c r="C354" s="76" t="s">
        <v>2506</v>
      </c>
      <c r="D354" s="76" t="s">
        <v>2506</v>
      </c>
      <c r="E354" s="76" t="s">
        <v>1542</v>
      </c>
      <c r="F354" s="76" t="s">
        <v>2502</v>
      </c>
      <c r="G354" s="76" t="s">
        <v>1322</v>
      </c>
      <c r="AU354" s="74" t="s">
        <v>2507</v>
      </c>
    </row>
    <row r="355" spans="1:47" hidden="1" x14ac:dyDescent="0.3">
      <c r="A355" s="76" t="s">
        <v>2508</v>
      </c>
      <c r="B355" s="76" t="s">
        <v>1324</v>
      </c>
      <c r="C355" s="76" t="s">
        <v>2509</v>
      </c>
      <c r="D355" s="76" t="s">
        <v>2509</v>
      </c>
      <c r="E355" s="76" t="s">
        <v>1542</v>
      </c>
      <c r="F355" s="76" t="s">
        <v>2502</v>
      </c>
      <c r="G355" s="76" t="s">
        <v>1322</v>
      </c>
      <c r="AU355" s="74" t="s">
        <v>2510</v>
      </c>
    </row>
    <row r="356" spans="1:47" hidden="1" x14ac:dyDescent="0.3">
      <c r="A356" s="76" t="s">
        <v>2511</v>
      </c>
      <c r="B356" s="76" t="s">
        <v>1325</v>
      </c>
      <c r="C356" s="76" t="s">
        <v>2512</v>
      </c>
      <c r="D356" s="76" t="s">
        <v>2512</v>
      </c>
      <c r="E356" s="76" t="s">
        <v>1542</v>
      </c>
      <c r="F356" s="76" t="s">
        <v>2502</v>
      </c>
      <c r="G356" s="76" t="s">
        <v>1322</v>
      </c>
      <c r="AU356" s="74" t="s">
        <v>2513</v>
      </c>
    </row>
    <row r="357" spans="1:47" hidden="1" x14ac:dyDescent="0.3">
      <c r="A357" s="76" t="s">
        <v>2514</v>
      </c>
      <c r="B357" s="76" t="s">
        <v>1326</v>
      </c>
      <c r="C357" s="76" t="s">
        <v>2515</v>
      </c>
      <c r="D357" s="76" t="s">
        <v>2515</v>
      </c>
      <c r="E357" s="76" t="s">
        <v>1542</v>
      </c>
      <c r="F357" s="76" t="s">
        <v>2502</v>
      </c>
      <c r="G357" s="76" t="s">
        <v>1322</v>
      </c>
      <c r="AU357" s="74" t="s">
        <v>2516</v>
      </c>
    </row>
    <row r="358" spans="1:47" hidden="1" x14ac:dyDescent="0.3">
      <c r="A358" s="76" t="s">
        <v>2517</v>
      </c>
      <c r="B358" s="76" t="s">
        <v>2518</v>
      </c>
      <c r="C358" s="76" t="s">
        <v>2519</v>
      </c>
      <c r="D358" s="76" t="s">
        <v>2519</v>
      </c>
      <c r="E358" s="76" t="s">
        <v>1368</v>
      </c>
      <c r="F358" s="76" t="s">
        <v>2364</v>
      </c>
      <c r="G358" s="76" t="s">
        <v>8</v>
      </c>
      <c r="AU358" s="74" t="s">
        <v>2520</v>
      </c>
    </row>
    <row r="359" spans="1:47" hidden="1" x14ac:dyDescent="0.3">
      <c r="A359" s="76" t="s">
        <v>2521</v>
      </c>
      <c r="B359" s="76" t="s">
        <v>1327</v>
      </c>
      <c r="C359" s="76" t="s">
        <v>2522</v>
      </c>
      <c r="D359" s="76" t="s">
        <v>2522</v>
      </c>
      <c r="E359" s="76" t="s">
        <v>1656</v>
      </c>
      <c r="F359" s="76" t="s">
        <v>2364</v>
      </c>
      <c r="G359" s="76" t="s">
        <v>8</v>
      </c>
      <c r="AU359" s="74" t="s">
        <v>2523</v>
      </c>
    </row>
    <row r="360" spans="1:47" hidden="1" x14ac:dyDescent="0.3">
      <c r="A360" s="76" t="s">
        <v>2524</v>
      </c>
      <c r="B360" s="76" t="s">
        <v>1328</v>
      </c>
      <c r="C360" s="76" t="s">
        <v>2525</v>
      </c>
      <c r="D360" s="76" t="s">
        <v>2525</v>
      </c>
      <c r="E360" s="76" t="s">
        <v>1383</v>
      </c>
      <c r="F360" s="76" t="s">
        <v>2364</v>
      </c>
      <c r="G360" s="76" t="s">
        <v>8</v>
      </c>
      <c r="AU360" s="74" t="s">
        <v>2526</v>
      </c>
    </row>
    <row r="361" spans="1:47" hidden="1" x14ac:dyDescent="0.3">
      <c r="A361" s="76" t="s">
        <v>2527</v>
      </c>
      <c r="B361" s="76" t="s">
        <v>1329</v>
      </c>
      <c r="C361" s="76" t="s">
        <v>2528</v>
      </c>
      <c r="D361" s="76" t="s">
        <v>2528</v>
      </c>
      <c r="E361" s="76" t="s">
        <v>1542</v>
      </c>
      <c r="F361" s="76" t="s">
        <v>2524</v>
      </c>
      <c r="G361" s="76" t="s">
        <v>1328</v>
      </c>
      <c r="AU361" s="74" t="s">
        <v>2529</v>
      </c>
    </row>
    <row r="362" spans="1:47" hidden="1" x14ac:dyDescent="0.3">
      <c r="A362" s="76" t="s">
        <v>2530</v>
      </c>
      <c r="B362" s="76" t="s">
        <v>1330</v>
      </c>
      <c r="C362" s="76" t="s">
        <v>2531</v>
      </c>
      <c r="D362" s="76" t="s">
        <v>2531</v>
      </c>
      <c r="E362" s="76" t="s">
        <v>1542</v>
      </c>
      <c r="F362" s="76" t="s">
        <v>2524</v>
      </c>
      <c r="G362" s="76" t="s">
        <v>1328</v>
      </c>
      <c r="AU362" s="74" t="s">
        <v>2532</v>
      </c>
    </row>
    <row r="363" spans="1:47" hidden="1" x14ac:dyDescent="0.3">
      <c r="A363" s="76" t="s">
        <v>2533</v>
      </c>
      <c r="B363" s="76" t="s">
        <v>1331</v>
      </c>
      <c r="C363" s="76" t="s">
        <v>2534</v>
      </c>
      <c r="D363" s="76" t="s">
        <v>2534</v>
      </c>
      <c r="E363" s="76" t="s">
        <v>1542</v>
      </c>
      <c r="F363" s="76" t="s">
        <v>2524</v>
      </c>
      <c r="G363" s="76" t="s">
        <v>1328</v>
      </c>
      <c r="AU363" s="74" t="s">
        <v>2535</v>
      </c>
    </row>
    <row r="364" spans="1:47" hidden="1" x14ac:dyDescent="0.3">
      <c r="A364" s="76" t="s">
        <v>2536</v>
      </c>
      <c r="B364" s="76" t="s">
        <v>1332</v>
      </c>
      <c r="C364" s="76" t="s">
        <v>2537</v>
      </c>
      <c r="D364" s="76" t="s">
        <v>2537</v>
      </c>
      <c r="E364" s="76" t="s">
        <v>1542</v>
      </c>
      <c r="F364" s="76" t="s">
        <v>2524</v>
      </c>
      <c r="G364" s="76" t="s">
        <v>1328</v>
      </c>
      <c r="AU364" s="74" t="s">
        <v>2538</v>
      </c>
    </row>
    <row r="365" spans="1:47" hidden="1" x14ac:dyDescent="0.3">
      <c r="A365" s="76" t="s">
        <v>2539</v>
      </c>
      <c r="B365" s="76" t="s">
        <v>1333</v>
      </c>
      <c r="C365" s="76" t="s">
        <v>2540</v>
      </c>
      <c r="D365" s="76" t="s">
        <v>2540</v>
      </c>
      <c r="E365" s="76" t="s">
        <v>1656</v>
      </c>
      <c r="F365" s="76" t="s">
        <v>2524</v>
      </c>
      <c r="G365" s="76" t="s">
        <v>1328</v>
      </c>
      <c r="AU365" s="74" t="s">
        <v>2541</v>
      </c>
    </row>
    <row r="366" spans="1:47" hidden="1" x14ac:dyDescent="0.3">
      <c r="A366" s="76" t="s">
        <v>2542</v>
      </c>
      <c r="B366" s="76" t="s">
        <v>1334</v>
      </c>
      <c r="C366" s="76" t="s">
        <v>2543</v>
      </c>
      <c r="D366" s="76" t="s">
        <v>2543</v>
      </c>
      <c r="E366" s="76" t="s">
        <v>1542</v>
      </c>
      <c r="F366" s="76" t="s">
        <v>2524</v>
      </c>
      <c r="G366" s="76" t="s">
        <v>1328</v>
      </c>
      <c r="AU366" s="74" t="s">
        <v>2544</v>
      </c>
    </row>
    <row r="367" spans="1:47" hidden="1" x14ac:dyDescent="0.3">
      <c r="A367" s="76" t="s">
        <v>2545</v>
      </c>
      <c r="B367" s="76" t="s">
        <v>1335</v>
      </c>
      <c r="C367" s="76" t="s">
        <v>2546</v>
      </c>
      <c r="D367" s="76" t="s">
        <v>2546</v>
      </c>
      <c r="E367" s="76" t="s">
        <v>1542</v>
      </c>
      <c r="F367" s="76" t="s">
        <v>2524</v>
      </c>
      <c r="G367" s="76" t="s">
        <v>1328</v>
      </c>
      <c r="AU367" s="74" t="s">
        <v>2547</v>
      </c>
    </row>
    <row r="368" spans="1:47" hidden="1" x14ac:dyDescent="0.3">
      <c r="A368" s="76" t="s">
        <v>2548</v>
      </c>
      <c r="B368" s="76" t="s">
        <v>1336</v>
      </c>
      <c r="C368" s="76" t="s">
        <v>2549</v>
      </c>
      <c r="D368" s="76" t="s">
        <v>2549</v>
      </c>
      <c r="E368" s="76" t="s">
        <v>1542</v>
      </c>
      <c r="F368" s="76" t="s">
        <v>2524</v>
      </c>
      <c r="G368" s="76" t="s">
        <v>1328</v>
      </c>
      <c r="AU368" s="74" t="s">
        <v>2550</v>
      </c>
    </row>
    <row r="369" spans="1:47" hidden="1" x14ac:dyDescent="0.3">
      <c r="A369" s="76" t="s">
        <v>2551</v>
      </c>
      <c r="B369" s="76" t="s">
        <v>2552</v>
      </c>
      <c r="C369" s="76" t="s">
        <v>2553</v>
      </c>
      <c r="D369" s="76" t="s">
        <v>2553</v>
      </c>
      <c r="E369" s="76" t="s">
        <v>1368</v>
      </c>
      <c r="F369" s="76" t="s">
        <v>2524</v>
      </c>
      <c r="G369" s="76" t="s">
        <v>1328</v>
      </c>
      <c r="AU369" s="74" t="s">
        <v>2554</v>
      </c>
    </row>
    <row r="370" spans="1:47" hidden="1" x14ac:dyDescent="0.3">
      <c r="A370" s="76" t="s">
        <v>2555</v>
      </c>
      <c r="B370" s="76" t="s">
        <v>1337</v>
      </c>
      <c r="C370" s="76" t="s">
        <v>2556</v>
      </c>
      <c r="D370" s="76" t="s">
        <v>2556</v>
      </c>
      <c r="E370" s="76" t="s">
        <v>1368</v>
      </c>
      <c r="F370" s="76" t="s">
        <v>2364</v>
      </c>
      <c r="G370" s="76" t="s">
        <v>8</v>
      </c>
      <c r="AU370" s="74" t="s">
        <v>2557</v>
      </c>
    </row>
    <row r="371" spans="1:47" hidden="1" x14ac:dyDescent="0.3">
      <c r="A371" s="76" t="s">
        <v>2558</v>
      </c>
      <c r="B371" s="76" t="s">
        <v>2559</v>
      </c>
      <c r="C371" s="76" t="s">
        <v>2560</v>
      </c>
      <c r="D371" s="76" t="s">
        <v>2560</v>
      </c>
      <c r="E371" s="76" t="s">
        <v>1532</v>
      </c>
      <c r="F371" s="76" t="s">
        <v>1350</v>
      </c>
      <c r="G371" s="76" t="s">
        <v>1351</v>
      </c>
      <c r="AU371" s="74" t="s">
        <v>2561</v>
      </c>
    </row>
  </sheetData>
  <autoFilter ref="A1:G371">
    <filterColumn colId="1">
      <filters>
        <filter val="PPK"/>
        <filter val="PPK-APITSZ"/>
        <filter val="PPK-DÉKÁNI"/>
        <filter val="PPK-EKTI"/>
        <filter val="PPK-ÉLETVEZTAN"/>
        <filter val="PPK-ESI"/>
        <filter val="PPK-FEJLPSZITSZ"/>
        <filter val="PPK-FTI"/>
        <filter val="PPK-GAZDPSZITSZ"/>
        <filter val="PPK-GH"/>
        <filter val="PPK-IPPI"/>
        <filter val="PPK-KLINPSZITSZ"/>
        <filter val="PPK-KOGPSZITSZ"/>
        <filter val="PPK-KÖNYVTÁR"/>
        <filter val="PPK-NI"/>
        <filter val="PPK-PI"/>
        <filter val="PPK-PI-TANISKTSZ"/>
        <filter val="PPK-PSZIKÖNYVTÁR"/>
        <filter val="PPK-SEK-PPI"/>
        <filter val="PPK-SEK-SI"/>
        <filter val="PPK-SZEMEGPSZITSZ"/>
        <filter val="PPK-SZOCPSZITSZ"/>
        <filter val="PPK-TH"/>
      </filters>
    </filterColumn>
  </autoFilter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B125"/>
  <sheetViews>
    <sheetView workbookViewId="0"/>
  </sheetViews>
  <sheetFormatPr defaultRowHeight="15.6" x14ac:dyDescent="0.3"/>
  <cols>
    <col min="1" max="1" width="15.109375" customWidth="1"/>
    <col min="2" max="2" width="15.109375" bestFit="1" customWidth="1"/>
    <col min="3" max="3" width="28.109375" bestFit="1" customWidth="1"/>
    <col min="4" max="4" width="33.109375" bestFit="1" customWidth="1"/>
    <col min="5" max="5" width="30.77734375" bestFit="1" customWidth="1"/>
    <col min="6" max="6" width="14.21875" customWidth="1"/>
    <col min="7" max="7" width="12.21875" bestFit="1" customWidth="1"/>
  </cols>
  <sheetData>
    <row r="1" spans="1:2" x14ac:dyDescent="0.3">
      <c r="A1" s="3" t="s">
        <v>62</v>
      </c>
      <c r="B1" s="3" t="s">
        <v>59</v>
      </c>
    </row>
    <row r="2" spans="1:2" x14ac:dyDescent="0.3">
      <c r="A2" t="s">
        <v>64</v>
      </c>
      <c r="B2">
        <v>14</v>
      </c>
    </row>
    <row r="3" spans="1:2" x14ac:dyDescent="0.3">
      <c r="A3" t="s">
        <v>64</v>
      </c>
      <c r="B3">
        <v>15</v>
      </c>
    </row>
    <row r="4" spans="1:2" x14ac:dyDescent="0.3">
      <c r="A4" t="s">
        <v>64</v>
      </c>
      <c r="B4">
        <v>16</v>
      </c>
    </row>
    <row r="5" spans="1:2" x14ac:dyDescent="0.3">
      <c r="A5" t="s">
        <v>64</v>
      </c>
      <c r="B5">
        <v>17</v>
      </c>
    </row>
    <row r="6" spans="1:2" x14ac:dyDescent="0.3">
      <c r="A6" t="s">
        <v>64</v>
      </c>
      <c r="B6">
        <v>18</v>
      </c>
    </row>
    <row r="7" spans="1:2" x14ac:dyDescent="0.3">
      <c r="A7" t="s">
        <v>64</v>
      </c>
      <c r="B7">
        <v>19</v>
      </c>
    </row>
    <row r="8" spans="1:2" x14ac:dyDescent="0.3">
      <c r="A8" t="s">
        <v>64</v>
      </c>
      <c r="B8">
        <v>20</v>
      </c>
    </row>
    <row r="9" spans="1:2" x14ac:dyDescent="0.3">
      <c r="A9" t="s">
        <v>64</v>
      </c>
      <c r="B9">
        <v>21</v>
      </c>
    </row>
    <row r="10" spans="1:2" x14ac:dyDescent="0.3">
      <c r="A10" t="s">
        <v>64</v>
      </c>
      <c r="B10">
        <v>22</v>
      </c>
    </row>
    <row r="11" spans="1:2" x14ac:dyDescent="0.3">
      <c r="A11" t="s">
        <v>64</v>
      </c>
      <c r="B11">
        <v>23</v>
      </c>
    </row>
    <row r="12" spans="1:2" x14ac:dyDescent="0.3">
      <c r="A12" t="s">
        <v>64</v>
      </c>
      <c r="B12">
        <v>24</v>
      </c>
    </row>
    <row r="13" spans="1:2" x14ac:dyDescent="0.3">
      <c r="A13" t="s">
        <v>64</v>
      </c>
      <c r="B13">
        <v>25</v>
      </c>
    </row>
    <row r="14" spans="1:2" x14ac:dyDescent="0.3">
      <c r="A14" t="s">
        <v>64</v>
      </c>
      <c r="B14">
        <v>26</v>
      </c>
    </row>
    <row r="15" spans="1:2" x14ac:dyDescent="0.3">
      <c r="A15" t="s">
        <v>64</v>
      </c>
      <c r="B15">
        <v>27</v>
      </c>
    </row>
    <row r="16" spans="1:2" x14ac:dyDescent="0.3">
      <c r="A16" t="s">
        <v>64</v>
      </c>
      <c r="B16">
        <v>28</v>
      </c>
    </row>
    <row r="17" spans="1:2" x14ac:dyDescent="0.3">
      <c r="A17" t="s">
        <v>64</v>
      </c>
      <c r="B17">
        <v>29</v>
      </c>
    </row>
    <row r="18" spans="1:2" x14ac:dyDescent="0.3">
      <c r="A18" t="s">
        <v>64</v>
      </c>
      <c r="B18">
        <v>30</v>
      </c>
    </row>
    <row r="19" spans="1:2" x14ac:dyDescent="0.3">
      <c r="A19" t="s">
        <v>64</v>
      </c>
      <c r="B19">
        <v>31</v>
      </c>
    </row>
    <row r="20" spans="1:2" x14ac:dyDescent="0.3">
      <c r="A20" t="s">
        <v>64</v>
      </c>
      <c r="B20">
        <v>32</v>
      </c>
    </row>
    <row r="21" spans="1:2" x14ac:dyDescent="0.3">
      <c r="A21" t="s">
        <v>64</v>
      </c>
      <c r="B21">
        <v>33</v>
      </c>
    </row>
    <row r="22" spans="1:2" x14ac:dyDescent="0.3">
      <c r="A22" t="s">
        <v>64</v>
      </c>
      <c r="B22">
        <v>34</v>
      </c>
    </row>
    <row r="23" spans="1:2" x14ac:dyDescent="0.3">
      <c r="A23" t="s">
        <v>64</v>
      </c>
      <c r="B23">
        <v>35</v>
      </c>
    </row>
    <row r="24" spans="1:2" x14ac:dyDescent="0.3">
      <c r="A24" t="s">
        <v>64</v>
      </c>
      <c r="B24">
        <v>36</v>
      </c>
    </row>
    <row r="25" spans="1:2" x14ac:dyDescent="0.3">
      <c r="A25" t="s">
        <v>64</v>
      </c>
      <c r="B25">
        <v>37</v>
      </c>
    </row>
    <row r="26" spans="1:2" x14ac:dyDescent="0.3">
      <c r="A26" t="s">
        <v>64</v>
      </c>
      <c r="B26">
        <v>38</v>
      </c>
    </row>
    <row r="27" spans="1:2" x14ac:dyDescent="0.3">
      <c r="A27" t="s">
        <v>64</v>
      </c>
      <c r="B27">
        <v>39</v>
      </c>
    </row>
    <row r="28" spans="1:2" x14ac:dyDescent="0.3">
      <c r="A28" t="s">
        <v>64</v>
      </c>
      <c r="B28">
        <v>40</v>
      </c>
    </row>
    <row r="29" spans="1:2" x14ac:dyDescent="0.3">
      <c r="A29" t="s">
        <v>64</v>
      </c>
      <c r="B29">
        <v>41</v>
      </c>
    </row>
    <row r="30" spans="1:2" x14ac:dyDescent="0.3">
      <c r="A30" t="s">
        <v>64</v>
      </c>
      <c r="B30">
        <v>42</v>
      </c>
    </row>
    <row r="31" spans="1:2" x14ac:dyDescent="0.3">
      <c r="A31" t="s">
        <v>64</v>
      </c>
      <c r="B31">
        <v>43</v>
      </c>
    </row>
    <row r="32" spans="1:2" x14ac:dyDescent="0.3">
      <c r="A32" t="s">
        <v>64</v>
      </c>
      <c r="B32">
        <v>44</v>
      </c>
    </row>
    <row r="33" spans="1:2" x14ac:dyDescent="0.3">
      <c r="A33" t="s">
        <v>64</v>
      </c>
      <c r="B33">
        <v>45</v>
      </c>
    </row>
    <row r="34" spans="1:2" x14ac:dyDescent="0.3">
      <c r="A34" t="s">
        <v>64</v>
      </c>
      <c r="B34">
        <v>46</v>
      </c>
    </row>
    <row r="35" spans="1:2" x14ac:dyDescent="0.3">
      <c r="A35" t="s">
        <v>64</v>
      </c>
      <c r="B35">
        <v>47</v>
      </c>
    </row>
    <row r="36" spans="1:2" x14ac:dyDescent="0.3">
      <c r="A36" t="s">
        <v>64</v>
      </c>
      <c r="B36">
        <v>48</v>
      </c>
    </row>
    <row r="37" spans="1:2" x14ac:dyDescent="0.3">
      <c r="A37" t="s">
        <v>64</v>
      </c>
      <c r="B37">
        <v>49</v>
      </c>
    </row>
    <row r="38" spans="1:2" x14ac:dyDescent="0.3">
      <c r="A38" t="s">
        <v>64</v>
      </c>
      <c r="B38">
        <v>50</v>
      </c>
    </row>
    <row r="39" spans="1:2" x14ac:dyDescent="0.3">
      <c r="A39" t="s">
        <v>64</v>
      </c>
      <c r="B39">
        <v>51</v>
      </c>
    </row>
    <row r="40" spans="1:2" x14ac:dyDescent="0.3">
      <c r="A40" t="s">
        <v>64</v>
      </c>
      <c r="B40">
        <v>52</v>
      </c>
    </row>
    <row r="41" spans="1:2" x14ac:dyDescent="0.3">
      <c r="A41" t="s">
        <v>64</v>
      </c>
      <c r="B41">
        <v>53</v>
      </c>
    </row>
    <row r="42" spans="1:2" x14ac:dyDescent="0.3">
      <c r="A42" t="s">
        <v>64</v>
      </c>
      <c r="B42">
        <v>54</v>
      </c>
    </row>
    <row r="43" spans="1:2" x14ac:dyDescent="0.3">
      <c r="A43" t="s">
        <v>64</v>
      </c>
      <c r="B43">
        <v>55</v>
      </c>
    </row>
    <row r="44" spans="1:2" x14ac:dyDescent="0.3">
      <c r="A44" t="s">
        <v>64</v>
      </c>
      <c r="B44">
        <v>56</v>
      </c>
    </row>
    <row r="45" spans="1:2" x14ac:dyDescent="0.3">
      <c r="A45" t="s">
        <v>64</v>
      </c>
      <c r="B45">
        <v>57</v>
      </c>
    </row>
    <row r="46" spans="1:2" x14ac:dyDescent="0.3">
      <c r="A46" t="s">
        <v>64</v>
      </c>
      <c r="B46">
        <v>58</v>
      </c>
    </row>
    <row r="47" spans="1:2" x14ac:dyDescent="0.3">
      <c r="A47" t="s">
        <v>64</v>
      </c>
      <c r="B47">
        <v>59</v>
      </c>
    </row>
    <row r="48" spans="1:2" x14ac:dyDescent="0.3">
      <c r="A48" t="s">
        <v>64</v>
      </c>
      <c r="B48">
        <v>60</v>
      </c>
    </row>
    <row r="49" spans="1:2" x14ac:dyDescent="0.3">
      <c r="A49" t="s">
        <v>64</v>
      </c>
      <c r="B49">
        <v>61</v>
      </c>
    </row>
    <row r="50" spans="1:2" x14ac:dyDescent="0.3">
      <c r="A50" t="s">
        <v>64</v>
      </c>
      <c r="B50">
        <v>62</v>
      </c>
    </row>
    <row r="51" spans="1:2" x14ac:dyDescent="0.3">
      <c r="A51" t="s">
        <v>64</v>
      </c>
      <c r="B51">
        <v>63</v>
      </c>
    </row>
    <row r="52" spans="1:2" x14ac:dyDescent="0.3">
      <c r="A52" t="s">
        <v>64</v>
      </c>
      <c r="B52">
        <v>64</v>
      </c>
    </row>
    <row r="53" spans="1:2" x14ac:dyDescent="0.3">
      <c r="A53" t="s">
        <v>64</v>
      </c>
      <c r="B53">
        <v>65</v>
      </c>
    </row>
    <row r="54" spans="1:2" x14ac:dyDescent="0.3">
      <c r="A54" t="s">
        <v>64</v>
      </c>
      <c r="B54">
        <v>66</v>
      </c>
    </row>
    <row r="55" spans="1:2" x14ac:dyDescent="0.3">
      <c r="A55" t="s">
        <v>115</v>
      </c>
    </row>
    <row r="56" spans="1:2" x14ac:dyDescent="0.3">
      <c r="A56" t="s">
        <v>63</v>
      </c>
      <c r="B56">
        <v>233</v>
      </c>
    </row>
    <row r="57" spans="1:2" x14ac:dyDescent="0.3">
      <c r="A57" t="s">
        <v>63</v>
      </c>
      <c r="B57">
        <v>234</v>
      </c>
    </row>
    <row r="58" spans="1:2" x14ac:dyDescent="0.3">
      <c r="A58" t="s">
        <v>63</v>
      </c>
      <c r="B58">
        <v>235</v>
      </c>
    </row>
    <row r="59" spans="1:2" x14ac:dyDescent="0.3">
      <c r="A59" t="s">
        <v>63</v>
      </c>
      <c r="B59">
        <v>236</v>
      </c>
    </row>
    <row r="60" spans="1:2" x14ac:dyDescent="0.3">
      <c r="A60" t="s">
        <v>63</v>
      </c>
      <c r="B60">
        <v>237</v>
      </c>
    </row>
    <row r="61" spans="1:2" x14ac:dyDescent="0.3">
      <c r="A61" t="s">
        <v>63</v>
      </c>
      <c r="B61">
        <v>238</v>
      </c>
    </row>
    <row r="62" spans="1:2" x14ac:dyDescent="0.3">
      <c r="A62" t="s">
        <v>63</v>
      </c>
      <c r="B62">
        <v>239</v>
      </c>
    </row>
    <row r="63" spans="1:2" x14ac:dyDescent="0.3">
      <c r="A63" t="s">
        <v>63</v>
      </c>
      <c r="B63">
        <v>240</v>
      </c>
    </row>
    <row r="64" spans="1:2" x14ac:dyDescent="0.3">
      <c r="A64" t="s">
        <v>63</v>
      </c>
      <c r="B64">
        <v>241</v>
      </c>
    </row>
    <row r="65" spans="1:2" x14ac:dyDescent="0.3">
      <c r="A65" t="s">
        <v>63</v>
      </c>
      <c r="B65">
        <v>242</v>
      </c>
    </row>
    <row r="66" spans="1:2" x14ac:dyDescent="0.3">
      <c r="A66" t="s">
        <v>63</v>
      </c>
      <c r="B66">
        <v>243</v>
      </c>
    </row>
    <row r="67" spans="1:2" x14ac:dyDescent="0.3">
      <c r="A67" t="s">
        <v>63</v>
      </c>
      <c r="B67">
        <v>244</v>
      </c>
    </row>
    <row r="68" spans="1:2" x14ac:dyDescent="0.3">
      <c r="A68" t="s">
        <v>63</v>
      </c>
      <c r="B68">
        <v>245</v>
      </c>
    </row>
    <row r="69" spans="1:2" x14ac:dyDescent="0.3">
      <c r="A69" t="s">
        <v>63</v>
      </c>
      <c r="B69">
        <v>246</v>
      </c>
    </row>
    <row r="70" spans="1:2" x14ac:dyDescent="0.3">
      <c r="A70" t="s">
        <v>63</v>
      </c>
      <c r="B70">
        <v>247</v>
      </c>
    </row>
    <row r="71" spans="1:2" x14ac:dyDescent="0.3">
      <c r="A71" t="s">
        <v>63</v>
      </c>
      <c r="B71">
        <v>248</v>
      </c>
    </row>
    <row r="72" spans="1:2" x14ac:dyDescent="0.3">
      <c r="A72" t="s">
        <v>63</v>
      </c>
      <c r="B72">
        <v>249</v>
      </c>
    </row>
    <row r="73" spans="1:2" x14ac:dyDescent="0.3">
      <c r="A73" t="s">
        <v>63</v>
      </c>
      <c r="B73">
        <v>250</v>
      </c>
    </row>
    <row r="74" spans="1:2" x14ac:dyDescent="0.3">
      <c r="A74" t="s">
        <v>63</v>
      </c>
      <c r="B74">
        <v>251</v>
      </c>
    </row>
    <row r="75" spans="1:2" x14ac:dyDescent="0.3">
      <c r="A75" t="s">
        <v>63</v>
      </c>
      <c r="B75">
        <v>252</v>
      </c>
    </row>
    <row r="76" spans="1:2" x14ac:dyDescent="0.3">
      <c r="A76" t="s">
        <v>63</v>
      </c>
      <c r="B76">
        <v>253</v>
      </c>
    </row>
    <row r="77" spans="1:2" x14ac:dyDescent="0.3">
      <c r="A77" t="s">
        <v>63</v>
      </c>
      <c r="B77">
        <v>254</v>
      </c>
    </row>
    <row r="78" spans="1:2" x14ac:dyDescent="0.3">
      <c r="A78" t="s">
        <v>63</v>
      </c>
      <c r="B78">
        <v>255</v>
      </c>
    </row>
    <row r="79" spans="1:2" x14ac:dyDescent="0.3">
      <c r="A79" t="s">
        <v>63</v>
      </c>
      <c r="B79">
        <v>256</v>
      </c>
    </row>
    <row r="80" spans="1:2" x14ac:dyDescent="0.3">
      <c r="A80" t="s">
        <v>63</v>
      </c>
      <c r="B80">
        <v>257</v>
      </c>
    </row>
    <row r="81" spans="1:2" x14ac:dyDescent="0.3">
      <c r="A81" t="s">
        <v>63</v>
      </c>
      <c r="B81">
        <v>258</v>
      </c>
    </row>
    <row r="82" spans="1:2" x14ac:dyDescent="0.3">
      <c r="A82" t="s">
        <v>63</v>
      </c>
      <c r="B82">
        <v>259</v>
      </c>
    </row>
    <row r="83" spans="1:2" x14ac:dyDescent="0.3">
      <c r="A83" t="s">
        <v>63</v>
      </c>
      <c r="B83">
        <v>260</v>
      </c>
    </row>
    <row r="84" spans="1:2" x14ac:dyDescent="0.3">
      <c r="A84" t="s">
        <v>63</v>
      </c>
      <c r="B84">
        <v>261</v>
      </c>
    </row>
    <row r="85" spans="1:2" x14ac:dyDescent="0.3">
      <c r="A85" t="s">
        <v>63</v>
      </c>
      <c r="B85">
        <v>262</v>
      </c>
    </row>
    <row r="86" spans="1:2" x14ac:dyDescent="0.3">
      <c r="A86" t="s">
        <v>63</v>
      </c>
      <c r="B86">
        <v>263</v>
      </c>
    </row>
    <row r="87" spans="1:2" x14ac:dyDescent="0.3">
      <c r="A87" t="s">
        <v>63</v>
      </c>
      <c r="B87">
        <v>264</v>
      </c>
    </row>
    <row r="88" spans="1:2" x14ac:dyDescent="0.3">
      <c r="A88" t="s">
        <v>63</v>
      </c>
      <c r="B88">
        <v>265</v>
      </c>
    </row>
    <row r="89" spans="1:2" x14ac:dyDescent="0.3">
      <c r="A89" t="s">
        <v>63</v>
      </c>
      <c r="B89">
        <v>266</v>
      </c>
    </row>
    <row r="90" spans="1:2" x14ac:dyDescent="0.3">
      <c r="A90" t="s">
        <v>63</v>
      </c>
      <c r="B90">
        <v>267</v>
      </c>
    </row>
    <row r="91" spans="1:2" x14ac:dyDescent="0.3">
      <c r="A91" t="s">
        <v>63</v>
      </c>
      <c r="B91">
        <v>268</v>
      </c>
    </row>
    <row r="92" spans="1:2" x14ac:dyDescent="0.3">
      <c r="A92" t="s">
        <v>63</v>
      </c>
      <c r="B92">
        <v>269</v>
      </c>
    </row>
    <row r="93" spans="1:2" x14ac:dyDescent="0.3">
      <c r="A93" t="s">
        <v>63</v>
      </c>
      <c r="B93">
        <v>270</v>
      </c>
    </row>
    <row r="94" spans="1:2" x14ac:dyDescent="0.3">
      <c r="A94" t="s">
        <v>63</v>
      </c>
      <c r="B94">
        <v>271</v>
      </c>
    </row>
    <row r="95" spans="1:2" x14ac:dyDescent="0.3">
      <c r="A95" t="s">
        <v>63</v>
      </c>
      <c r="B95">
        <v>272</v>
      </c>
    </row>
    <row r="96" spans="1:2" x14ac:dyDescent="0.3">
      <c r="A96" t="s">
        <v>63</v>
      </c>
      <c r="B96">
        <v>273</v>
      </c>
    </row>
    <row r="97" spans="1:2" x14ac:dyDescent="0.3">
      <c r="A97" t="s">
        <v>63</v>
      </c>
      <c r="B97">
        <v>274</v>
      </c>
    </row>
    <row r="98" spans="1:2" x14ac:dyDescent="0.3">
      <c r="A98" t="s">
        <v>63</v>
      </c>
      <c r="B98">
        <v>275</v>
      </c>
    </row>
    <row r="99" spans="1:2" x14ac:dyDescent="0.3">
      <c r="A99" t="s">
        <v>63</v>
      </c>
      <c r="B99">
        <v>276</v>
      </c>
    </row>
    <row r="100" spans="1:2" x14ac:dyDescent="0.3">
      <c r="A100" t="s">
        <v>63</v>
      </c>
      <c r="B100">
        <v>277</v>
      </c>
    </row>
    <row r="101" spans="1:2" x14ac:dyDescent="0.3">
      <c r="A101" t="s">
        <v>63</v>
      </c>
      <c r="B101">
        <v>278</v>
      </c>
    </row>
    <row r="102" spans="1:2" x14ac:dyDescent="0.3">
      <c r="A102" t="s">
        <v>63</v>
      </c>
      <c r="B102">
        <v>279</v>
      </c>
    </row>
    <row r="103" spans="1:2" x14ac:dyDescent="0.3">
      <c r="A103" t="s">
        <v>63</v>
      </c>
      <c r="B103">
        <v>280</v>
      </c>
    </row>
    <row r="104" spans="1:2" x14ac:dyDescent="0.3">
      <c r="A104" t="s">
        <v>63</v>
      </c>
      <c r="B104">
        <v>281</v>
      </c>
    </row>
    <row r="105" spans="1:2" x14ac:dyDescent="0.3">
      <c r="A105" t="s">
        <v>63</v>
      </c>
      <c r="B105">
        <v>282</v>
      </c>
    </row>
    <row r="106" spans="1:2" x14ac:dyDescent="0.3">
      <c r="A106" t="s">
        <v>63</v>
      </c>
      <c r="B106">
        <v>283</v>
      </c>
    </row>
    <row r="107" spans="1:2" x14ac:dyDescent="0.3">
      <c r="A107" t="s">
        <v>63</v>
      </c>
      <c r="B107">
        <v>284</v>
      </c>
    </row>
    <row r="108" spans="1:2" x14ac:dyDescent="0.3">
      <c r="A108" t="s">
        <v>63</v>
      </c>
      <c r="B108">
        <v>285</v>
      </c>
    </row>
    <row r="109" spans="1:2" x14ac:dyDescent="0.3">
      <c r="A109" t="s">
        <v>63</v>
      </c>
      <c r="B109">
        <v>286</v>
      </c>
    </row>
    <row r="110" spans="1:2" x14ac:dyDescent="0.3">
      <c r="A110" t="s">
        <v>63</v>
      </c>
      <c r="B110">
        <v>288</v>
      </c>
    </row>
    <row r="111" spans="1:2" x14ac:dyDescent="0.3">
      <c r="A111" t="s">
        <v>63</v>
      </c>
      <c r="B111">
        <v>297</v>
      </c>
    </row>
    <row r="112" spans="1:2" x14ac:dyDescent="0.3">
      <c r="A112" t="s">
        <v>63</v>
      </c>
      <c r="B112">
        <v>298</v>
      </c>
    </row>
    <row r="113" spans="1:2" x14ac:dyDescent="0.3">
      <c r="A113" t="s">
        <v>63</v>
      </c>
      <c r="B113">
        <v>299</v>
      </c>
    </row>
    <row r="114" spans="1:2" x14ac:dyDescent="0.3">
      <c r="A114" t="s">
        <v>63</v>
      </c>
      <c r="B114">
        <v>300</v>
      </c>
    </row>
    <row r="115" spans="1:2" x14ac:dyDescent="0.3">
      <c r="A115" t="s">
        <v>63</v>
      </c>
      <c r="B115">
        <v>301</v>
      </c>
    </row>
    <row r="116" spans="1:2" x14ac:dyDescent="0.3">
      <c r="A116" t="s">
        <v>63</v>
      </c>
      <c r="B116">
        <v>322</v>
      </c>
    </row>
    <row r="117" spans="1:2" x14ac:dyDescent="0.3">
      <c r="A117" t="s">
        <v>63</v>
      </c>
      <c r="B117">
        <v>332</v>
      </c>
    </row>
    <row r="118" spans="1:2" x14ac:dyDescent="0.3">
      <c r="A118" t="s">
        <v>63</v>
      </c>
      <c r="B118">
        <v>333</v>
      </c>
    </row>
    <row r="119" spans="1:2" x14ac:dyDescent="0.3">
      <c r="A119" t="s">
        <v>63</v>
      </c>
      <c r="B119">
        <v>341</v>
      </c>
    </row>
    <row r="120" spans="1:2" x14ac:dyDescent="0.3">
      <c r="A120" t="s">
        <v>63</v>
      </c>
      <c r="B120">
        <v>342</v>
      </c>
    </row>
    <row r="121" spans="1:2" x14ac:dyDescent="0.3">
      <c r="A121" t="s">
        <v>63</v>
      </c>
      <c r="B121">
        <v>344</v>
      </c>
    </row>
    <row r="122" spans="1:2" x14ac:dyDescent="0.3">
      <c r="A122" t="s">
        <v>63</v>
      </c>
      <c r="B122">
        <v>345</v>
      </c>
    </row>
    <row r="123" spans="1:2" x14ac:dyDescent="0.3">
      <c r="A123" t="s">
        <v>63</v>
      </c>
      <c r="B123">
        <v>349</v>
      </c>
    </row>
    <row r="124" spans="1:2" x14ac:dyDescent="0.3">
      <c r="A124" t="s">
        <v>63</v>
      </c>
      <c r="B124">
        <v>350</v>
      </c>
    </row>
    <row r="125" spans="1:2" x14ac:dyDescent="0.3">
      <c r="A125" t="s">
        <v>116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I61"/>
  <sheetViews>
    <sheetView zoomScale="85" zoomScaleNormal="85" workbookViewId="0">
      <pane xSplit="2" ySplit="6" topLeftCell="DW7" activePane="bottomRight" state="frozen"/>
      <selection activeCell="ED24" sqref="ED24"/>
      <selection pane="topRight" activeCell="ED24" sqref="ED24"/>
      <selection pane="bottomLeft" activeCell="ED24" sqref="ED24"/>
      <selection pane="bottomRight" activeCell="ED24" sqref="ED24"/>
    </sheetView>
  </sheetViews>
  <sheetFormatPr defaultColWidth="8" defaultRowHeight="14.4" x14ac:dyDescent="0.3"/>
  <cols>
    <col min="1" max="1" width="18.77734375" style="435" customWidth="1"/>
    <col min="2" max="2" width="25.21875" style="435" bestFit="1" customWidth="1"/>
    <col min="3" max="3" width="12.44140625" style="252" customWidth="1"/>
    <col min="4" max="4" width="10.44140625" style="252" customWidth="1"/>
    <col min="5" max="6" width="11.44140625" style="252" customWidth="1"/>
    <col min="7" max="8" width="10.44140625" style="252" customWidth="1"/>
    <col min="9" max="10" width="11.109375" style="252" customWidth="1"/>
    <col min="11" max="11" width="12.21875" style="252" customWidth="1"/>
    <col min="12" max="14" width="10.44140625" style="252" customWidth="1"/>
    <col min="15" max="16" width="12.21875" style="252" customWidth="1"/>
    <col min="17" max="17" width="10.44140625" style="252" customWidth="1"/>
    <col min="18" max="18" width="12.21875" style="252" bestFit="1" customWidth="1"/>
    <col min="19" max="21" width="10.44140625" style="252" customWidth="1"/>
    <col min="22" max="22" width="12.21875" style="252" customWidth="1"/>
    <col min="23" max="24" width="11.109375" style="252" customWidth="1"/>
    <col min="25" max="26" width="11.44140625" style="252" customWidth="1"/>
    <col min="27" max="27" width="11.109375" style="252" customWidth="1"/>
    <col min="28" max="28" width="11.44140625" style="252" customWidth="1"/>
    <col min="29" max="33" width="11.109375" style="252" customWidth="1"/>
    <col min="34" max="34" width="11.44140625" style="252" customWidth="1"/>
    <col min="35" max="35" width="10.44140625" style="252" customWidth="1"/>
    <col min="36" max="36" width="11.44140625" style="252" customWidth="1"/>
    <col min="37" max="37" width="12.21875" style="252" bestFit="1" customWidth="1"/>
    <col min="38" max="38" width="12.21875" style="252" customWidth="1"/>
    <col min="39" max="39" width="10.44140625" style="252" customWidth="1"/>
    <col min="40" max="40" width="12.21875" style="252" customWidth="1"/>
    <col min="41" max="42" width="10.44140625" style="252" customWidth="1"/>
    <col min="43" max="43" width="11.44140625" style="252" customWidth="1"/>
    <col min="44" max="48" width="12.21875" style="252" customWidth="1"/>
    <col min="49" max="49" width="10.44140625" style="252" bestFit="1" customWidth="1"/>
    <col min="50" max="50" width="10.44140625" style="252" customWidth="1"/>
    <col min="51" max="51" width="12.21875" style="252" customWidth="1"/>
    <col min="52" max="52" width="11.44140625" style="252" bestFit="1" customWidth="1"/>
    <col min="53" max="53" width="11.44140625" style="252" customWidth="1"/>
    <col min="54" max="54" width="11.44140625" style="252" bestFit="1" customWidth="1"/>
    <col min="55" max="55" width="10.44140625" style="252" customWidth="1"/>
    <col min="56" max="56" width="10.44140625" style="252" bestFit="1" customWidth="1"/>
    <col min="57" max="57" width="11.44140625" style="252" customWidth="1"/>
    <col min="58" max="58" width="10.44140625" style="252" customWidth="1"/>
    <col min="59" max="59" width="11.44140625" style="252" customWidth="1"/>
    <col min="60" max="60" width="12.21875" style="252" customWidth="1"/>
    <col min="61" max="61" width="10.44140625" style="252" customWidth="1"/>
    <col min="62" max="64" width="12.21875" style="252" customWidth="1"/>
    <col min="65" max="67" width="11.44140625" style="252" customWidth="1"/>
    <col min="68" max="68" width="12.21875" style="252" customWidth="1"/>
    <col min="69" max="69" width="11.44140625" style="252" customWidth="1"/>
    <col min="70" max="70" width="12.21875" style="252" customWidth="1"/>
    <col min="71" max="71" width="11.44140625" style="252" customWidth="1"/>
    <col min="72" max="72" width="12.21875" style="252" customWidth="1"/>
    <col min="73" max="73" width="11.44140625" style="252" customWidth="1"/>
    <col min="74" max="75" width="10.44140625" style="252" customWidth="1"/>
    <col min="76" max="77" width="11.44140625" style="252" customWidth="1"/>
    <col min="78" max="78" width="10.44140625" style="252" customWidth="1"/>
    <col min="79" max="80" width="11.44140625" style="252" customWidth="1"/>
    <col min="81" max="83" width="10.44140625" style="252" customWidth="1"/>
    <col min="84" max="84" width="11.44140625" style="252" customWidth="1"/>
    <col min="85" max="85" width="10.44140625" style="252" customWidth="1"/>
    <col min="86" max="86" width="12.21875" style="252" customWidth="1"/>
    <col min="87" max="87" width="11.109375" style="252" bestFit="1" customWidth="1"/>
    <col min="88" max="88" width="11.44140625" style="252" customWidth="1"/>
    <col min="89" max="89" width="12.21875" style="252" customWidth="1"/>
    <col min="90" max="93" width="11.44140625" style="252" customWidth="1"/>
    <col min="94" max="95" width="11.109375" style="252" customWidth="1"/>
    <col min="96" max="96" width="12.21875" style="252" customWidth="1"/>
    <col min="97" max="97" width="10.44140625" style="252" customWidth="1"/>
    <col min="98" max="99" width="11.44140625" style="252" customWidth="1"/>
    <col min="100" max="106" width="10.44140625" style="252" customWidth="1"/>
    <col min="107" max="113" width="11.44140625" style="252" customWidth="1"/>
    <col min="114" max="116" width="11.109375" style="252" customWidth="1"/>
    <col min="117" max="117" width="11.33203125" style="252" customWidth="1"/>
    <col min="118" max="120" width="11.44140625" style="252" customWidth="1"/>
    <col min="121" max="123" width="11.33203125" style="252" customWidth="1"/>
    <col min="124" max="124" width="11.44140625" style="252" customWidth="1"/>
    <col min="125" max="128" width="12" style="252" customWidth="1"/>
    <col min="129" max="129" width="11.44140625" style="252" customWidth="1"/>
    <col min="130" max="130" width="12.21875" style="252" customWidth="1"/>
    <col min="131" max="131" width="11.44140625" style="252" customWidth="1"/>
    <col min="132" max="132" width="12.21875" style="252" customWidth="1"/>
    <col min="133" max="133" width="11.44140625" style="252" customWidth="1"/>
    <col min="134" max="134" width="16.21875" style="252" customWidth="1"/>
    <col min="135" max="135" width="8" style="252" customWidth="1"/>
    <col min="136" max="136" width="12.21875" style="252" customWidth="1"/>
    <col min="137" max="138" width="32.109375" style="252" customWidth="1"/>
    <col min="139" max="16384" width="8" style="251"/>
  </cols>
  <sheetData>
    <row r="1" spans="1:138" s="249" customFormat="1" x14ac:dyDescent="0.3">
      <c r="B1" s="249" t="s">
        <v>2951</v>
      </c>
      <c r="C1" s="250" t="s">
        <v>3502</v>
      </c>
      <c r="D1" s="250" t="s">
        <v>2952</v>
      </c>
      <c r="E1" s="250" t="s">
        <v>2952</v>
      </c>
      <c r="F1" s="250" t="s">
        <v>2952</v>
      </c>
      <c r="G1" s="250" t="s">
        <v>2953</v>
      </c>
      <c r="H1" s="250" t="s">
        <v>2953</v>
      </c>
      <c r="I1" s="250" t="s">
        <v>2953</v>
      </c>
      <c r="J1" s="250" t="s">
        <v>2953</v>
      </c>
      <c r="K1" s="250" t="s">
        <v>2954</v>
      </c>
      <c r="L1" s="250" t="s">
        <v>2954</v>
      </c>
      <c r="M1" s="250" t="s">
        <v>2954</v>
      </c>
      <c r="N1" s="250" t="s">
        <v>2955</v>
      </c>
      <c r="O1" s="250" t="s">
        <v>2956</v>
      </c>
      <c r="P1" s="250" t="s">
        <v>2956</v>
      </c>
      <c r="Q1" s="250" t="s">
        <v>2956</v>
      </c>
      <c r="R1" s="250" t="s">
        <v>2957</v>
      </c>
      <c r="S1" s="250" t="s">
        <v>2958</v>
      </c>
      <c r="T1" s="250" t="s">
        <v>2959</v>
      </c>
      <c r="U1" s="250" t="s">
        <v>2960</v>
      </c>
      <c r="V1" s="250" t="s">
        <v>2960</v>
      </c>
      <c r="W1" s="250" t="s">
        <v>2960</v>
      </c>
      <c r="X1" s="250" t="s">
        <v>2961</v>
      </c>
      <c r="Y1" s="250" t="s">
        <v>2961</v>
      </c>
      <c r="Z1" s="250" t="s">
        <v>2961</v>
      </c>
      <c r="AA1" s="250" t="s">
        <v>2961</v>
      </c>
      <c r="AB1" s="250" t="s">
        <v>2961</v>
      </c>
      <c r="AC1" s="250" t="s">
        <v>2961</v>
      </c>
      <c r="AD1" s="250" t="s">
        <v>3503</v>
      </c>
      <c r="AE1" s="250" t="s">
        <v>2962</v>
      </c>
      <c r="AF1" s="250" t="s">
        <v>2962</v>
      </c>
      <c r="AG1" s="250" t="s">
        <v>2962</v>
      </c>
      <c r="AH1" s="250" t="s">
        <v>2962</v>
      </c>
      <c r="AI1" s="250" t="s">
        <v>2962</v>
      </c>
      <c r="AJ1" s="250" t="s">
        <v>2962</v>
      </c>
      <c r="AK1" s="250" t="s">
        <v>2963</v>
      </c>
      <c r="AL1" s="250" t="s">
        <v>2964</v>
      </c>
      <c r="AM1" s="250" t="s">
        <v>2964</v>
      </c>
      <c r="AN1" s="250" t="s">
        <v>2965</v>
      </c>
      <c r="AO1" s="250" t="s">
        <v>2966</v>
      </c>
      <c r="AP1" s="250" t="s">
        <v>2967</v>
      </c>
      <c r="AQ1" s="250" t="s">
        <v>2968</v>
      </c>
      <c r="AR1" s="250" t="s">
        <v>2969</v>
      </c>
      <c r="AS1" s="250" t="s">
        <v>2969</v>
      </c>
      <c r="AT1" s="250" t="s">
        <v>2969</v>
      </c>
      <c r="AU1" s="250" t="s">
        <v>2970</v>
      </c>
      <c r="AV1" s="250" t="s">
        <v>2971</v>
      </c>
      <c r="AW1" s="250" t="s">
        <v>2971</v>
      </c>
      <c r="AX1" s="250" t="s">
        <v>2971</v>
      </c>
      <c r="AY1" s="250" t="s">
        <v>2971</v>
      </c>
      <c r="AZ1" s="250" t="s">
        <v>2971</v>
      </c>
      <c r="BA1" s="250" t="s">
        <v>2972</v>
      </c>
      <c r="BB1" s="250" t="s">
        <v>2972</v>
      </c>
      <c r="BC1" s="250" t="s">
        <v>2972</v>
      </c>
      <c r="BD1" s="250" t="s">
        <v>2973</v>
      </c>
      <c r="BE1" s="250" t="s">
        <v>2973</v>
      </c>
      <c r="BF1" s="250" t="s">
        <v>2974</v>
      </c>
      <c r="BG1" s="250" t="s">
        <v>2974</v>
      </c>
      <c r="BH1" s="250" t="s">
        <v>2975</v>
      </c>
      <c r="BI1" s="250" t="s">
        <v>2976</v>
      </c>
      <c r="BJ1" s="250" t="s">
        <v>2977</v>
      </c>
      <c r="BK1" s="250" t="s">
        <v>2977</v>
      </c>
      <c r="BL1" s="250" t="s">
        <v>2977</v>
      </c>
      <c r="BM1" s="250" t="s">
        <v>2977</v>
      </c>
      <c r="BN1" s="250" t="s">
        <v>2978</v>
      </c>
      <c r="BO1" s="250" t="s">
        <v>2978</v>
      </c>
      <c r="BP1" s="250" t="s">
        <v>2979</v>
      </c>
      <c r="BQ1" s="250" t="s">
        <v>2980</v>
      </c>
      <c r="BR1" s="250" t="s">
        <v>2980</v>
      </c>
      <c r="BS1" s="250" t="s">
        <v>2980</v>
      </c>
      <c r="BT1" s="250" t="s">
        <v>2980</v>
      </c>
      <c r="BU1" s="250" t="s">
        <v>2981</v>
      </c>
      <c r="BV1" s="250" t="s">
        <v>2982</v>
      </c>
      <c r="BW1" s="250" t="s">
        <v>2983</v>
      </c>
      <c r="BX1" s="250" t="s">
        <v>2984</v>
      </c>
      <c r="BY1" s="250" t="s">
        <v>3504</v>
      </c>
      <c r="BZ1" s="250" t="s">
        <v>2985</v>
      </c>
      <c r="CA1" s="250" t="s">
        <v>2986</v>
      </c>
      <c r="CB1" s="250" t="s">
        <v>2987</v>
      </c>
      <c r="CC1" s="250" t="s">
        <v>2988</v>
      </c>
      <c r="CD1" s="250" t="s">
        <v>2989</v>
      </c>
      <c r="CE1" s="250" t="s">
        <v>2990</v>
      </c>
      <c r="CF1" s="250" t="s">
        <v>2991</v>
      </c>
      <c r="CG1" s="250" t="s">
        <v>2991</v>
      </c>
      <c r="CH1" s="250" t="s">
        <v>2991</v>
      </c>
      <c r="CI1" s="250" t="s">
        <v>2992</v>
      </c>
      <c r="CJ1" s="250" t="s">
        <v>2993</v>
      </c>
      <c r="CK1" s="250" t="s">
        <v>2994</v>
      </c>
      <c r="CL1" s="250" t="s">
        <v>2995</v>
      </c>
      <c r="CM1" s="250" t="s">
        <v>2996</v>
      </c>
      <c r="CN1" s="250" t="s">
        <v>2997</v>
      </c>
      <c r="CO1" s="250" t="s">
        <v>2997</v>
      </c>
      <c r="CP1" s="250" t="s">
        <v>2997</v>
      </c>
      <c r="CQ1" s="250" t="s">
        <v>2997</v>
      </c>
      <c r="CR1" s="250" t="s">
        <v>2997</v>
      </c>
      <c r="CS1" s="250" t="s">
        <v>2997</v>
      </c>
      <c r="CT1" s="250" t="s">
        <v>2997</v>
      </c>
      <c r="CU1" s="250" t="s">
        <v>2997</v>
      </c>
      <c r="CV1" s="250" t="s">
        <v>2997</v>
      </c>
      <c r="CW1" s="250" t="s">
        <v>2998</v>
      </c>
      <c r="CX1" s="250" t="s">
        <v>2999</v>
      </c>
      <c r="CY1" s="250" t="s">
        <v>3000</v>
      </c>
      <c r="CZ1" s="250" t="s">
        <v>3001</v>
      </c>
      <c r="DA1" s="250" t="s">
        <v>3002</v>
      </c>
      <c r="DB1" s="250" t="s">
        <v>3003</v>
      </c>
      <c r="DC1" s="250" t="s">
        <v>3004</v>
      </c>
      <c r="DD1" s="250" t="s">
        <v>3005</v>
      </c>
      <c r="DE1" s="250" t="s">
        <v>3006</v>
      </c>
      <c r="DF1" s="250" t="s">
        <v>3007</v>
      </c>
      <c r="DG1" s="250" t="s">
        <v>3008</v>
      </c>
      <c r="DH1" s="250" t="s">
        <v>3009</v>
      </c>
      <c r="DI1" s="250" t="s">
        <v>3009</v>
      </c>
      <c r="DJ1" s="250" t="s">
        <v>3009</v>
      </c>
      <c r="DK1" s="250" t="s">
        <v>3009</v>
      </c>
      <c r="DL1" s="250" t="s">
        <v>3009</v>
      </c>
      <c r="DM1" s="250" t="s">
        <v>3009</v>
      </c>
      <c r="DN1" s="250" t="s">
        <v>3009</v>
      </c>
      <c r="DO1" s="250" t="s">
        <v>3009</v>
      </c>
      <c r="DP1" s="250" t="s">
        <v>3009</v>
      </c>
      <c r="DQ1" s="250" t="s">
        <v>3009</v>
      </c>
      <c r="DR1" s="250" t="s">
        <v>3010</v>
      </c>
      <c r="DS1" s="250" t="s">
        <v>3011</v>
      </c>
      <c r="DT1" s="250" t="s">
        <v>3012</v>
      </c>
      <c r="DU1" s="250" t="s">
        <v>3013</v>
      </c>
      <c r="DV1" s="250" t="s">
        <v>3013</v>
      </c>
      <c r="DW1" s="250" t="s">
        <v>3013</v>
      </c>
      <c r="DX1" s="250" t="s">
        <v>3014</v>
      </c>
      <c r="DY1" s="250" t="s">
        <v>3015</v>
      </c>
      <c r="DZ1" s="250" t="s">
        <v>3016</v>
      </c>
      <c r="EA1" s="250" t="s">
        <v>872</v>
      </c>
      <c r="EB1" s="250" t="s">
        <v>872</v>
      </c>
      <c r="EC1" s="250"/>
      <c r="ED1" s="250"/>
      <c r="EE1" s="250"/>
      <c r="EF1" s="250"/>
      <c r="EG1" s="250"/>
      <c r="EH1" s="250"/>
    </row>
    <row r="2" spans="1:138" x14ac:dyDescent="0.3">
      <c r="B2" s="436" t="s">
        <v>60</v>
      </c>
      <c r="C2" s="252" t="s">
        <v>3505</v>
      </c>
      <c r="D2" s="252" t="s">
        <v>3017</v>
      </c>
      <c r="E2" s="252" t="s">
        <v>3017</v>
      </c>
      <c r="F2" s="252" t="s">
        <v>3017</v>
      </c>
      <c r="G2" s="252" t="s">
        <v>3018</v>
      </c>
      <c r="H2" s="252" t="s">
        <v>3019</v>
      </c>
      <c r="I2" s="252" t="s">
        <v>3020</v>
      </c>
      <c r="J2" s="252" t="s">
        <v>3021</v>
      </c>
      <c r="K2" s="252" t="s">
        <v>3022</v>
      </c>
      <c r="L2" s="252" t="s">
        <v>3022</v>
      </c>
      <c r="M2" s="252" t="s">
        <v>3023</v>
      </c>
      <c r="N2" s="252" t="s">
        <v>3024</v>
      </c>
      <c r="O2" s="252" t="s">
        <v>3025</v>
      </c>
      <c r="P2" s="252" t="s">
        <v>3025</v>
      </c>
      <c r="Q2" s="252" t="s">
        <v>3026</v>
      </c>
      <c r="R2" s="252" t="s">
        <v>3027</v>
      </c>
      <c r="S2" s="252" t="s">
        <v>3506</v>
      </c>
      <c r="T2" s="252" t="s">
        <v>2922</v>
      </c>
      <c r="U2" s="252" t="s">
        <v>3028</v>
      </c>
      <c r="V2" s="252" t="s">
        <v>3029</v>
      </c>
      <c r="W2" s="252" t="s">
        <v>3030</v>
      </c>
      <c r="X2" s="252" t="s">
        <v>3031</v>
      </c>
      <c r="Y2" s="252" t="s">
        <v>3032</v>
      </c>
      <c r="Z2" s="252" t="s">
        <v>3033</v>
      </c>
      <c r="AA2" s="252" t="s">
        <v>3034</v>
      </c>
      <c r="AB2" s="252" t="s">
        <v>3035</v>
      </c>
      <c r="AC2" s="252" t="s">
        <v>3036</v>
      </c>
      <c r="AD2" s="252" t="s">
        <v>3507</v>
      </c>
      <c r="AE2" s="252" t="s">
        <v>3037</v>
      </c>
      <c r="AF2" s="252" t="s">
        <v>3037</v>
      </c>
      <c r="AG2" s="252" t="s">
        <v>3037</v>
      </c>
      <c r="AH2" s="252" t="s">
        <v>3037</v>
      </c>
      <c r="AI2" s="252" t="s">
        <v>3037</v>
      </c>
      <c r="AJ2" s="252" t="s">
        <v>3037</v>
      </c>
      <c r="AK2" s="252" t="s">
        <v>3038</v>
      </c>
      <c r="AL2" s="252" t="s">
        <v>3039</v>
      </c>
      <c r="AM2" s="252" t="s">
        <v>3040</v>
      </c>
      <c r="AN2" s="252" t="s">
        <v>925</v>
      </c>
      <c r="AO2" s="252" t="s">
        <v>3041</v>
      </c>
      <c r="AP2" s="252" t="s">
        <v>3042</v>
      </c>
      <c r="AQ2" s="252" t="s">
        <v>3043</v>
      </c>
      <c r="AR2" s="252" t="s">
        <v>3044</v>
      </c>
      <c r="AS2" s="252" t="s">
        <v>3045</v>
      </c>
      <c r="AT2" s="252" t="s">
        <v>3046</v>
      </c>
      <c r="AU2" s="252" t="s">
        <v>3047</v>
      </c>
      <c r="AV2" s="252" t="s">
        <v>998</v>
      </c>
      <c r="AW2" s="252" t="s">
        <v>3048</v>
      </c>
      <c r="AX2" s="252" t="s">
        <v>3049</v>
      </c>
      <c r="AY2" s="252" t="s">
        <v>3050</v>
      </c>
      <c r="AZ2" s="252" t="s">
        <v>3508</v>
      </c>
      <c r="BA2" s="252" t="s">
        <v>2924</v>
      </c>
      <c r="BB2" s="252" t="s">
        <v>3051</v>
      </c>
      <c r="BC2" s="252" t="s">
        <v>3052</v>
      </c>
      <c r="BD2" s="252" t="s">
        <v>2926</v>
      </c>
      <c r="BE2" s="252" t="s">
        <v>3053</v>
      </c>
      <c r="BF2" s="252" t="s">
        <v>2925</v>
      </c>
      <c r="BG2" s="252" t="s">
        <v>3054</v>
      </c>
      <c r="BH2" s="252" t="s">
        <v>2927</v>
      </c>
      <c r="BI2" s="252" t="s">
        <v>3055</v>
      </c>
      <c r="BJ2" s="252" t="s">
        <v>3056</v>
      </c>
      <c r="BK2" s="252" t="s">
        <v>3057</v>
      </c>
      <c r="BL2" s="252" t="s">
        <v>1075</v>
      </c>
      <c r="BM2" s="252" t="s">
        <v>3058</v>
      </c>
      <c r="BN2" s="252" t="s">
        <v>3059</v>
      </c>
      <c r="BO2" s="252" t="s">
        <v>3059</v>
      </c>
      <c r="BP2" s="252" t="s">
        <v>3060</v>
      </c>
      <c r="BQ2" s="252" t="s">
        <v>3061</v>
      </c>
      <c r="BR2" s="252" t="s">
        <v>3062</v>
      </c>
      <c r="BS2" s="252" t="s">
        <v>3063</v>
      </c>
      <c r="BT2" s="252" t="s">
        <v>3064</v>
      </c>
      <c r="BU2" s="252" t="s">
        <v>1019</v>
      </c>
      <c r="BV2" s="252" t="s">
        <v>1020</v>
      </c>
      <c r="BW2" s="252" t="s">
        <v>3065</v>
      </c>
      <c r="BX2" s="252" t="s">
        <v>3066</v>
      </c>
      <c r="BY2" s="252" t="s">
        <v>3509</v>
      </c>
      <c r="BZ2" s="252" t="s">
        <v>3067</v>
      </c>
      <c r="CA2" s="252" t="s">
        <v>3068</v>
      </c>
      <c r="CB2" s="252" t="s">
        <v>3069</v>
      </c>
      <c r="CC2" s="252" t="s">
        <v>3070</v>
      </c>
      <c r="CD2" s="252" t="s">
        <v>3071</v>
      </c>
      <c r="CE2" s="252" t="s">
        <v>3072</v>
      </c>
      <c r="CF2" s="252" t="s">
        <v>3073</v>
      </c>
      <c r="CG2" s="252" t="s">
        <v>3074</v>
      </c>
      <c r="CH2" s="252" t="s">
        <v>3075</v>
      </c>
      <c r="CI2" s="252" t="s">
        <v>3076</v>
      </c>
      <c r="CJ2" s="252" t="s">
        <v>3077</v>
      </c>
      <c r="CK2" s="252" t="s">
        <v>3078</v>
      </c>
      <c r="CL2" s="252" t="s">
        <v>3079</v>
      </c>
      <c r="CM2" s="252" t="s">
        <v>3080</v>
      </c>
      <c r="CN2" s="252" t="s">
        <v>2923</v>
      </c>
      <c r="CO2" s="252" t="s">
        <v>3081</v>
      </c>
      <c r="CP2" s="252" t="s">
        <v>3082</v>
      </c>
      <c r="CQ2" s="252" t="s">
        <v>3083</v>
      </c>
      <c r="CR2" s="252" t="s">
        <v>3084</v>
      </c>
      <c r="CS2" s="252" t="s">
        <v>3085</v>
      </c>
      <c r="CT2" s="252" t="s">
        <v>3086</v>
      </c>
      <c r="CU2" s="252" t="s">
        <v>3087</v>
      </c>
      <c r="CV2" s="252" t="s">
        <v>3088</v>
      </c>
      <c r="CW2" s="252" t="s">
        <v>982</v>
      </c>
      <c r="CX2" s="252" t="s">
        <v>3089</v>
      </c>
      <c r="CY2" s="252" t="s">
        <v>3090</v>
      </c>
      <c r="CZ2" s="252" t="s">
        <v>3091</v>
      </c>
      <c r="DA2" s="252" t="s">
        <v>3092</v>
      </c>
      <c r="DB2" s="252" t="s">
        <v>3093</v>
      </c>
      <c r="DC2" s="252" t="s">
        <v>3094</v>
      </c>
      <c r="DD2" s="252" t="s">
        <v>3095</v>
      </c>
      <c r="DE2" s="252" t="s">
        <v>3096</v>
      </c>
      <c r="DF2" s="252" t="s">
        <v>3097</v>
      </c>
      <c r="DG2" s="252" t="s">
        <v>3098</v>
      </c>
      <c r="DH2" s="252" t="s">
        <v>3099</v>
      </c>
      <c r="DI2" s="252" t="s">
        <v>3100</v>
      </c>
      <c r="DJ2" s="252" t="s">
        <v>3101</v>
      </c>
      <c r="DK2" s="252" t="s">
        <v>3102</v>
      </c>
      <c r="DL2" s="252" t="s">
        <v>2910</v>
      </c>
      <c r="DM2" s="252" t="s">
        <v>3103</v>
      </c>
      <c r="DN2" s="252" t="s">
        <v>3104</v>
      </c>
      <c r="DO2" s="252" t="s">
        <v>3105</v>
      </c>
      <c r="DP2" s="252" t="s">
        <v>3106</v>
      </c>
      <c r="DQ2" s="252" t="s">
        <v>3107</v>
      </c>
      <c r="DR2" s="252" t="s">
        <v>3108</v>
      </c>
      <c r="DS2" s="252" t="s">
        <v>3109</v>
      </c>
      <c r="DT2" s="252" t="s">
        <v>3110</v>
      </c>
      <c r="DU2" s="252" t="s">
        <v>3111</v>
      </c>
      <c r="DV2" s="252" t="s">
        <v>3112</v>
      </c>
      <c r="DW2" s="252" t="s">
        <v>3113</v>
      </c>
      <c r="DX2" s="252" t="s">
        <v>3114</v>
      </c>
      <c r="DY2" s="252" t="s">
        <v>3115</v>
      </c>
      <c r="DZ2" s="252" t="s">
        <v>3116</v>
      </c>
      <c r="EA2" s="252" t="s">
        <v>3037</v>
      </c>
      <c r="EB2" s="252" t="s">
        <v>3037</v>
      </c>
      <c r="EC2" s="252" t="s">
        <v>3117</v>
      </c>
      <c r="ED2" s="252" t="s">
        <v>3510</v>
      </c>
    </row>
    <row r="3" spans="1:138" x14ac:dyDescent="0.3">
      <c r="B3" s="436" t="s">
        <v>2588</v>
      </c>
      <c r="C3" s="252" t="s">
        <v>3501</v>
      </c>
      <c r="D3" s="252" t="s">
        <v>3501</v>
      </c>
      <c r="E3" s="252" t="s">
        <v>3501</v>
      </c>
      <c r="F3" s="252" t="s">
        <v>3501</v>
      </c>
      <c r="G3" s="252" t="s">
        <v>2628</v>
      </c>
      <c r="H3" s="252" t="s">
        <v>3501</v>
      </c>
      <c r="I3" s="252" t="s">
        <v>3501</v>
      </c>
      <c r="J3" s="252" t="s">
        <v>3501</v>
      </c>
      <c r="K3" s="252" t="s">
        <v>3501</v>
      </c>
      <c r="L3" s="252" t="s">
        <v>3501</v>
      </c>
      <c r="M3" s="252" t="s">
        <v>2628</v>
      </c>
      <c r="N3" s="252" t="s">
        <v>3501</v>
      </c>
      <c r="O3" s="252" t="s">
        <v>3501</v>
      </c>
      <c r="P3" s="252" t="s">
        <v>3501</v>
      </c>
      <c r="Q3" s="252" t="s">
        <v>3501</v>
      </c>
      <c r="R3" s="252" t="s">
        <v>3501</v>
      </c>
      <c r="S3" s="252" t="s">
        <v>3501</v>
      </c>
      <c r="T3" s="252" t="s">
        <v>2628</v>
      </c>
      <c r="U3" s="252" t="s">
        <v>3499</v>
      </c>
      <c r="V3" s="252" t="s">
        <v>3499</v>
      </c>
      <c r="W3" s="252" t="s">
        <v>3499</v>
      </c>
      <c r="X3" s="252" t="s">
        <v>2628</v>
      </c>
      <c r="Y3" s="252" t="s">
        <v>3501</v>
      </c>
      <c r="Z3" s="252" t="s">
        <v>3501</v>
      </c>
      <c r="AA3" s="252" t="s">
        <v>3501</v>
      </c>
      <c r="AB3" s="252" t="s">
        <v>2628</v>
      </c>
      <c r="AC3" s="252" t="s">
        <v>3501</v>
      </c>
      <c r="AD3" s="252" t="s">
        <v>3500</v>
      </c>
      <c r="AE3" s="252" t="s">
        <v>2628</v>
      </c>
      <c r="AF3" s="252" t="s">
        <v>3501</v>
      </c>
      <c r="AG3" s="252" t="s">
        <v>3501</v>
      </c>
      <c r="AH3" s="252" t="s">
        <v>3501</v>
      </c>
      <c r="AI3" s="252" t="s">
        <v>2628</v>
      </c>
      <c r="AJ3" s="252" t="s">
        <v>3501</v>
      </c>
      <c r="AK3" s="252" t="s">
        <v>3501</v>
      </c>
      <c r="AL3" s="252" t="s">
        <v>3499</v>
      </c>
      <c r="AM3" s="252" t="s">
        <v>3499</v>
      </c>
      <c r="AN3" s="252" t="s">
        <v>2628</v>
      </c>
      <c r="AO3" s="252" t="s">
        <v>3501</v>
      </c>
      <c r="AP3" s="252" t="s">
        <v>3500</v>
      </c>
      <c r="AQ3" s="252" t="s">
        <v>1532</v>
      </c>
      <c r="AR3" s="252" t="s">
        <v>3499</v>
      </c>
      <c r="AS3" s="252" t="s">
        <v>3499</v>
      </c>
      <c r="AT3" s="252" t="s">
        <v>3499</v>
      </c>
      <c r="AU3" s="252" t="s">
        <v>1532</v>
      </c>
      <c r="AV3" s="252" t="s">
        <v>3501</v>
      </c>
      <c r="AW3" s="252" t="s">
        <v>2628</v>
      </c>
      <c r="AX3" s="252" t="s">
        <v>2628</v>
      </c>
      <c r="AY3" s="252" t="s">
        <v>2628</v>
      </c>
      <c r="AZ3" s="252" t="s">
        <v>2628</v>
      </c>
      <c r="BA3" s="252" t="s">
        <v>2628</v>
      </c>
      <c r="BB3" s="252" t="s">
        <v>3501</v>
      </c>
      <c r="BC3" s="252" t="s">
        <v>2628</v>
      </c>
      <c r="BD3" s="252" t="s">
        <v>2628</v>
      </c>
      <c r="BE3" s="252" t="s">
        <v>3501</v>
      </c>
      <c r="BF3" s="252" t="s">
        <v>2628</v>
      </c>
      <c r="BG3" s="252" t="s">
        <v>3501</v>
      </c>
      <c r="BH3" s="252" t="s">
        <v>2628</v>
      </c>
      <c r="BI3" s="252" t="s">
        <v>1532</v>
      </c>
      <c r="BJ3" s="252" t="s">
        <v>3501</v>
      </c>
      <c r="BK3" s="252" t="s">
        <v>3501</v>
      </c>
      <c r="BL3" s="252" t="s">
        <v>1532</v>
      </c>
      <c r="BM3" s="252" t="s">
        <v>2628</v>
      </c>
      <c r="BN3" s="252" t="s">
        <v>1532</v>
      </c>
      <c r="BO3" s="252" t="s">
        <v>1532</v>
      </c>
      <c r="BP3" s="252" t="s">
        <v>1532</v>
      </c>
      <c r="BQ3" s="252" t="s">
        <v>1532</v>
      </c>
      <c r="BR3" s="252" t="s">
        <v>1532</v>
      </c>
      <c r="BS3" s="252" t="s">
        <v>1532</v>
      </c>
      <c r="BT3" s="252" t="s">
        <v>1532</v>
      </c>
      <c r="BU3" s="252" t="s">
        <v>1532</v>
      </c>
      <c r="BV3" s="252" t="s">
        <v>1532</v>
      </c>
      <c r="BW3" s="252" t="s">
        <v>1532</v>
      </c>
      <c r="BX3" s="252" t="s">
        <v>1532</v>
      </c>
      <c r="BY3" s="252" t="s">
        <v>1532</v>
      </c>
      <c r="BZ3" s="252" t="s">
        <v>3501</v>
      </c>
      <c r="CA3" s="252" t="s">
        <v>3501</v>
      </c>
      <c r="CB3" s="252" t="s">
        <v>3501</v>
      </c>
      <c r="CC3" s="252" t="s">
        <v>3501</v>
      </c>
      <c r="CD3" s="252" t="s">
        <v>3501</v>
      </c>
      <c r="CE3" s="252" t="s">
        <v>2628</v>
      </c>
      <c r="CF3" s="252" t="s">
        <v>3501</v>
      </c>
      <c r="CG3" s="252" t="s">
        <v>3501</v>
      </c>
      <c r="CH3" s="252" t="s">
        <v>3501</v>
      </c>
      <c r="CI3" s="252" t="s">
        <v>1532</v>
      </c>
      <c r="CJ3" s="252" t="s">
        <v>3501</v>
      </c>
      <c r="CK3" s="252" t="s">
        <v>3501</v>
      </c>
      <c r="CL3" s="252" t="s">
        <v>3501</v>
      </c>
      <c r="CM3" s="252" t="s">
        <v>2628</v>
      </c>
      <c r="CN3" s="252" t="s">
        <v>2628</v>
      </c>
      <c r="CO3" s="252" t="s">
        <v>2628</v>
      </c>
      <c r="CP3" s="252" t="s">
        <v>1532</v>
      </c>
      <c r="CQ3" s="252" t="s">
        <v>3501</v>
      </c>
      <c r="CR3" s="252" t="s">
        <v>3499</v>
      </c>
      <c r="CS3" s="252" t="s">
        <v>3499</v>
      </c>
      <c r="CT3" s="252" t="s">
        <v>3499</v>
      </c>
      <c r="CU3" s="252" t="s">
        <v>3499</v>
      </c>
      <c r="CV3" s="252" t="s">
        <v>3499</v>
      </c>
      <c r="CW3" s="252" t="s">
        <v>2628</v>
      </c>
      <c r="CX3" s="252" t="s">
        <v>3499</v>
      </c>
      <c r="CY3" s="252" t="s">
        <v>3499</v>
      </c>
      <c r="CZ3" s="252" t="s">
        <v>3499</v>
      </c>
      <c r="DA3" s="252" t="s">
        <v>2628</v>
      </c>
      <c r="DB3" s="252" t="s">
        <v>2628</v>
      </c>
      <c r="DC3" s="252" t="s">
        <v>2628</v>
      </c>
      <c r="DD3" s="252" t="s">
        <v>2628</v>
      </c>
      <c r="DE3" s="252" t="s">
        <v>2628</v>
      </c>
      <c r="DF3" s="252" t="s">
        <v>2628</v>
      </c>
      <c r="DG3" s="252" t="s">
        <v>3501</v>
      </c>
      <c r="DH3" s="252" t="s">
        <v>2879</v>
      </c>
      <c r="DI3" s="252" t="s">
        <v>2879</v>
      </c>
      <c r="DJ3" s="252" t="s">
        <v>2636</v>
      </c>
      <c r="DK3" s="252" t="s">
        <v>2879</v>
      </c>
      <c r="DL3" s="252" t="s">
        <v>2636</v>
      </c>
      <c r="DM3" s="252" t="s">
        <v>2636</v>
      </c>
      <c r="DN3" s="252" t="s">
        <v>2636</v>
      </c>
      <c r="DO3" s="252" t="s">
        <v>3499</v>
      </c>
      <c r="DP3" s="252" t="s">
        <v>3499</v>
      </c>
      <c r="DQ3" s="252" t="s">
        <v>3499</v>
      </c>
      <c r="DR3" s="252" t="s">
        <v>2879</v>
      </c>
      <c r="DS3" s="252" t="s">
        <v>2636</v>
      </c>
      <c r="DT3" s="252" t="s">
        <v>2636</v>
      </c>
      <c r="DU3" s="252" t="s">
        <v>3499</v>
      </c>
      <c r="DV3" s="252" t="s">
        <v>3499</v>
      </c>
      <c r="DW3" s="252" t="s">
        <v>3499</v>
      </c>
      <c r="DX3" s="252" t="s">
        <v>1532</v>
      </c>
      <c r="DY3" s="252" t="s">
        <v>1532</v>
      </c>
      <c r="DZ3" s="252" t="s">
        <v>1532</v>
      </c>
      <c r="EA3" s="252" t="s">
        <v>3501</v>
      </c>
      <c r="EB3" s="252" t="s">
        <v>3501</v>
      </c>
      <c r="EC3" s="252" t="s">
        <v>3501</v>
      </c>
    </row>
    <row r="4" spans="1:138" x14ac:dyDescent="0.3">
      <c r="B4" s="436" t="s">
        <v>59</v>
      </c>
    </row>
    <row r="5" spans="1:138" s="254" customFormat="1" x14ac:dyDescent="0.3">
      <c r="A5" s="437"/>
      <c r="B5" s="438">
        <v>16</v>
      </c>
      <c r="C5" s="255">
        <v>0</v>
      </c>
      <c r="D5" s="255">
        <v>0</v>
      </c>
      <c r="E5" s="255">
        <v>0</v>
      </c>
      <c r="F5" s="255">
        <v>0</v>
      </c>
      <c r="G5" s="255">
        <v>1863889.5914721617</v>
      </c>
      <c r="H5" s="255">
        <v>313715.68606583629</v>
      </c>
      <c r="I5" s="255">
        <v>65.25</v>
      </c>
      <c r="J5" s="255">
        <v>224.46</v>
      </c>
      <c r="K5" s="255">
        <v>16940.845264248674</v>
      </c>
      <c r="L5" s="255">
        <v>46363.311975789351</v>
      </c>
      <c r="M5" s="255">
        <v>5280690.8511902159</v>
      </c>
      <c r="N5" s="255">
        <v>0</v>
      </c>
      <c r="O5" s="255">
        <v>80437.254850076832</v>
      </c>
      <c r="P5" s="255">
        <v>7881.2381210107615</v>
      </c>
      <c r="Q5" s="255">
        <v>2782524.4363420806</v>
      </c>
      <c r="R5" s="255">
        <v>0</v>
      </c>
      <c r="S5" s="255">
        <v>0</v>
      </c>
      <c r="T5" s="255">
        <v>3168791.0925343246</v>
      </c>
      <c r="U5" s="255">
        <v>30072176.414887138</v>
      </c>
      <c r="V5" s="255">
        <v>0</v>
      </c>
      <c r="W5" s="255">
        <v>12662307.565177795</v>
      </c>
      <c r="X5" s="255">
        <v>8125207.1825634856</v>
      </c>
      <c r="Y5" s="255">
        <v>98360.54689924109</v>
      </c>
      <c r="Z5" s="255">
        <v>87891.224046077128</v>
      </c>
      <c r="AA5" s="255">
        <v>29801.861599971056</v>
      </c>
      <c r="AB5" s="255">
        <v>0</v>
      </c>
      <c r="AC5" s="255">
        <v>71407.61038756471</v>
      </c>
      <c r="AD5" s="255">
        <v>0</v>
      </c>
      <c r="AE5" s="255">
        <v>0</v>
      </c>
      <c r="AF5" s="255">
        <v>0</v>
      </c>
      <c r="AG5" s="255">
        <v>0</v>
      </c>
      <c r="AH5" s="255">
        <v>0</v>
      </c>
      <c r="AI5" s="255">
        <v>0</v>
      </c>
      <c r="AJ5" s="255">
        <v>0</v>
      </c>
      <c r="AK5" s="255">
        <v>0</v>
      </c>
      <c r="AL5" s="255">
        <v>24133362.509768385</v>
      </c>
      <c r="AM5" s="255">
        <v>3819142.1131242402</v>
      </c>
      <c r="AN5" s="255">
        <v>3741285.9498070856</v>
      </c>
      <c r="AO5" s="255">
        <v>0</v>
      </c>
      <c r="AP5" s="255">
        <v>0</v>
      </c>
      <c r="AQ5" s="255">
        <v>1828341.4710759756</v>
      </c>
      <c r="AR5" s="255">
        <v>15062789.930928342</v>
      </c>
      <c r="AS5" s="255">
        <v>3579533.1710845954</v>
      </c>
      <c r="AT5" s="255">
        <v>4708161.5235280776</v>
      </c>
      <c r="AU5" s="255">
        <v>7101127.602504055</v>
      </c>
      <c r="AV5" s="255">
        <v>0</v>
      </c>
      <c r="AW5" s="255">
        <v>14176597.17031171</v>
      </c>
      <c r="AX5" s="255">
        <v>2284345.5529341213</v>
      </c>
      <c r="AY5" s="255">
        <v>1656780.4618922535</v>
      </c>
      <c r="AZ5" s="255">
        <v>0</v>
      </c>
      <c r="BA5" s="255">
        <v>0</v>
      </c>
      <c r="BB5" s="255">
        <v>0</v>
      </c>
      <c r="BC5" s="255">
        <v>0</v>
      </c>
      <c r="BD5" s="255">
        <v>0</v>
      </c>
      <c r="BE5" s="255">
        <v>0</v>
      </c>
      <c r="BF5" s="255">
        <v>0</v>
      </c>
      <c r="BG5" s="255">
        <v>0</v>
      </c>
      <c r="BH5" s="255">
        <v>0</v>
      </c>
      <c r="BI5" s="255">
        <v>1567310.89633641</v>
      </c>
      <c r="BJ5" s="255">
        <v>6120.2745846436746</v>
      </c>
      <c r="BK5" s="255">
        <v>0</v>
      </c>
      <c r="BL5" s="255">
        <v>2260362.8409093712</v>
      </c>
      <c r="BM5" s="255">
        <v>0</v>
      </c>
      <c r="BN5" s="255">
        <v>4827929.3321018312</v>
      </c>
      <c r="BO5" s="255">
        <v>65894.795414208274</v>
      </c>
      <c r="BP5" s="255">
        <v>0</v>
      </c>
      <c r="BQ5" s="255">
        <v>3175998.4586209543</v>
      </c>
      <c r="BR5" s="255">
        <v>0</v>
      </c>
      <c r="BS5" s="255">
        <v>1938098.3559093941</v>
      </c>
      <c r="BT5" s="255">
        <v>0</v>
      </c>
      <c r="BU5" s="255">
        <v>4097269.9439153303</v>
      </c>
      <c r="BV5" s="255">
        <v>3320584.561378194</v>
      </c>
      <c r="BW5" s="255">
        <v>3261075.2667914391</v>
      </c>
      <c r="BX5" s="255">
        <v>3550090.809036959</v>
      </c>
      <c r="BY5" s="255">
        <v>3614172</v>
      </c>
      <c r="BZ5" s="255">
        <v>0</v>
      </c>
      <c r="CA5" s="255">
        <v>0</v>
      </c>
      <c r="CB5" s="255">
        <v>0</v>
      </c>
      <c r="CC5" s="255">
        <v>0</v>
      </c>
      <c r="CD5" s="255">
        <v>572015.83844985894</v>
      </c>
      <c r="CE5" s="255">
        <v>0</v>
      </c>
      <c r="CF5" s="255">
        <v>0</v>
      </c>
      <c r="CG5" s="255">
        <v>0</v>
      </c>
      <c r="CH5" s="255">
        <v>0</v>
      </c>
      <c r="CI5" s="255">
        <v>0</v>
      </c>
      <c r="CJ5" s="255">
        <v>0</v>
      </c>
      <c r="CK5" s="255">
        <v>507664.14</v>
      </c>
      <c r="CL5" s="255">
        <v>0</v>
      </c>
      <c r="CM5" s="255">
        <v>5284603.1241399534</v>
      </c>
      <c r="CN5" s="255">
        <v>331172.95331322559</v>
      </c>
      <c r="CO5" s="255">
        <v>827288.68579313566</v>
      </c>
      <c r="CP5" s="255">
        <v>2895612.5919615212</v>
      </c>
      <c r="CQ5" s="255">
        <v>253632.87173739553</v>
      </c>
      <c r="CR5" s="255">
        <v>1462803.3494608314</v>
      </c>
      <c r="CS5" s="255">
        <v>1303999.3951478449</v>
      </c>
      <c r="CT5" s="255">
        <v>726143.47634651186</v>
      </c>
      <c r="CU5" s="255">
        <v>310903.89786702342</v>
      </c>
      <c r="CV5" s="255">
        <v>407846.47823831864</v>
      </c>
      <c r="CW5" s="255">
        <v>4175995.9396776804</v>
      </c>
      <c r="CX5" s="255">
        <v>40163035.399713725</v>
      </c>
      <c r="CY5" s="255">
        <v>1159499.4479205005</v>
      </c>
      <c r="CZ5" s="255">
        <v>0</v>
      </c>
      <c r="DA5" s="255">
        <v>0</v>
      </c>
      <c r="DB5" s="255">
        <v>0</v>
      </c>
      <c r="DC5" s="255">
        <v>0</v>
      </c>
      <c r="DD5" s="255">
        <v>0</v>
      </c>
      <c r="DE5" s="255">
        <v>0</v>
      </c>
      <c r="DF5" s="255">
        <v>0</v>
      </c>
      <c r="DG5" s="255">
        <v>0</v>
      </c>
      <c r="DH5" s="255">
        <v>602292.16048202815</v>
      </c>
      <c r="DI5" s="255">
        <v>596051.39599451469</v>
      </c>
      <c r="DJ5" s="255">
        <v>3464768.0989827365</v>
      </c>
      <c r="DK5" s="255">
        <v>0</v>
      </c>
      <c r="DL5" s="255">
        <v>1372098.1209000018</v>
      </c>
      <c r="DM5" s="255">
        <v>712769.47199373064</v>
      </c>
      <c r="DN5" s="255">
        <v>146747.96349513507</v>
      </c>
      <c r="DO5" s="255">
        <v>0</v>
      </c>
      <c r="DP5" s="255">
        <v>326576.25098132138</v>
      </c>
      <c r="DQ5" s="255">
        <v>0</v>
      </c>
      <c r="DR5" s="255">
        <v>0</v>
      </c>
      <c r="DS5" s="255">
        <v>0</v>
      </c>
      <c r="DT5" s="255">
        <v>0</v>
      </c>
      <c r="DU5" s="255">
        <v>14169580.044769226</v>
      </c>
      <c r="DV5" s="255">
        <v>9734745.2602091767</v>
      </c>
      <c r="DW5" s="255">
        <v>16471344.548430972</v>
      </c>
      <c r="DX5" s="255">
        <v>0</v>
      </c>
      <c r="DY5" s="255">
        <v>0</v>
      </c>
      <c r="DZ5" s="255">
        <v>0</v>
      </c>
      <c r="EA5" s="255"/>
      <c r="EB5" s="255"/>
      <c r="EC5" s="255"/>
      <c r="ED5" s="255"/>
      <c r="EE5" s="255"/>
      <c r="EF5" s="255"/>
      <c r="EG5" s="255"/>
      <c r="EH5" s="255"/>
    </row>
    <row r="6" spans="1:138" s="254" customFormat="1" x14ac:dyDescent="0.3">
      <c r="A6" s="437"/>
      <c r="B6" s="438">
        <v>22</v>
      </c>
      <c r="C6" s="255">
        <v>0</v>
      </c>
      <c r="D6" s="255">
        <v>0</v>
      </c>
      <c r="E6" s="256">
        <v>0</v>
      </c>
      <c r="F6" s="256">
        <v>0</v>
      </c>
      <c r="G6" s="255">
        <v>0</v>
      </c>
      <c r="H6" s="255">
        <v>0</v>
      </c>
      <c r="I6" s="255">
        <v>0</v>
      </c>
      <c r="J6" s="255">
        <v>0</v>
      </c>
      <c r="K6" s="255">
        <v>0</v>
      </c>
      <c r="L6" s="255">
        <v>0</v>
      </c>
      <c r="M6" s="255">
        <v>0</v>
      </c>
      <c r="N6" s="255">
        <v>0</v>
      </c>
      <c r="O6" s="255">
        <v>0</v>
      </c>
      <c r="P6" s="255">
        <v>0</v>
      </c>
      <c r="Q6" s="255">
        <v>0</v>
      </c>
      <c r="R6" s="255">
        <v>0</v>
      </c>
      <c r="S6" s="255">
        <v>0</v>
      </c>
      <c r="T6" s="255">
        <v>0</v>
      </c>
      <c r="U6" s="255">
        <v>0</v>
      </c>
      <c r="V6" s="255">
        <v>0</v>
      </c>
      <c r="W6" s="255">
        <v>0</v>
      </c>
      <c r="X6" s="255">
        <v>0</v>
      </c>
      <c r="Y6" s="255">
        <v>0</v>
      </c>
      <c r="Z6" s="255">
        <v>0</v>
      </c>
      <c r="AA6" s="255">
        <v>0</v>
      </c>
      <c r="AB6" s="255">
        <v>0</v>
      </c>
      <c r="AC6" s="255">
        <v>0</v>
      </c>
      <c r="AD6" s="255">
        <v>0</v>
      </c>
      <c r="AE6" s="255">
        <v>0</v>
      </c>
      <c r="AF6" s="255">
        <v>0</v>
      </c>
      <c r="AG6" s="255">
        <v>0</v>
      </c>
      <c r="AH6" s="255">
        <v>0</v>
      </c>
      <c r="AI6" s="255">
        <v>0</v>
      </c>
      <c r="AJ6" s="255">
        <v>0</v>
      </c>
      <c r="AK6" s="255">
        <v>0</v>
      </c>
      <c r="AL6" s="255">
        <v>367561.46810597158</v>
      </c>
      <c r="AM6" s="255">
        <v>0</v>
      </c>
      <c r="AN6" s="255">
        <v>0</v>
      </c>
      <c r="AO6" s="255">
        <v>0</v>
      </c>
      <c r="AP6" s="255">
        <v>0</v>
      </c>
      <c r="AQ6" s="255">
        <v>0</v>
      </c>
      <c r="AR6" s="255">
        <v>0</v>
      </c>
      <c r="AS6" s="255">
        <v>0</v>
      </c>
      <c r="AT6" s="255">
        <v>0</v>
      </c>
      <c r="AU6" s="255">
        <v>0</v>
      </c>
      <c r="AV6" s="255">
        <v>0</v>
      </c>
      <c r="AW6" s="255">
        <v>0</v>
      </c>
      <c r="AX6" s="255">
        <v>0</v>
      </c>
      <c r="AY6" s="255">
        <v>0</v>
      </c>
      <c r="AZ6" s="255">
        <v>0</v>
      </c>
      <c r="BA6" s="255">
        <v>0</v>
      </c>
      <c r="BB6" s="255">
        <v>0</v>
      </c>
      <c r="BC6" s="255">
        <v>0</v>
      </c>
      <c r="BD6" s="255">
        <v>0</v>
      </c>
      <c r="BE6" s="255">
        <v>0</v>
      </c>
      <c r="BF6" s="255">
        <v>0</v>
      </c>
      <c r="BG6" s="255">
        <v>0</v>
      </c>
      <c r="BH6" s="255">
        <v>0</v>
      </c>
      <c r="BI6" s="255">
        <v>0</v>
      </c>
      <c r="BJ6" s="255">
        <v>0</v>
      </c>
      <c r="BK6" s="255">
        <v>0</v>
      </c>
      <c r="BL6" s="255">
        <v>0</v>
      </c>
      <c r="BM6" s="255">
        <v>0</v>
      </c>
      <c r="BN6" s="255">
        <v>0</v>
      </c>
      <c r="BO6" s="255">
        <v>0</v>
      </c>
      <c r="BP6" s="255">
        <v>0</v>
      </c>
      <c r="BQ6" s="255">
        <v>0</v>
      </c>
      <c r="BR6" s="255">
        <v>0</v>
      </c>
      <c r="BS6" s="255">
        <v>0</v>
      </c>
      <c r="BT6" s="255">
        <v>0</v>
      </c>
      <c r="BU6" s="255">
        <v>0</v>
      </c>
      <c r="BV6" s="255">
        <v>0</v>
      </c>
      <c r="BW6" s="255">
        <v>0</v>
      </c>
      <c r="BX6" s="255">
        <v>0</v>
      </c>
      <c r="BY6" s="255">
        <v>0</v>
      </c>
      <c r="BZ6" s="255">
        <v>0</v>
      </c>
      <c r="CA6" s="255">
        <v>0</v>
      </c>
      <c r="CB6" s="255">
        <v>0</v>
      </c>
      <c r="CC6" s="255">
        <v>0</v>
      </c>
      <c r="CD6" s="255">
        <v>0</v>
      </c>
      <c r="CE6" s="255">
        <v>0</v>
      </c>
      <c r="CF6" s="255">
        <v>0</v>
      </c>
      <c r="CG6" s="255">
        <v>0</v>
      </c>
      <c r="CH6" s="255">
        <v>0</v>
      </c>
      <c r="CI6" s="255">
        <v>0</v>
      </c>
      <c r="CJ6" s="255">
        <v>0</v>
      </c>
      <c r="CK6" s="255">
        <v>0</v>
      </c>
      <c r="CL6" s="255">
        <v>0</v>
      </c>
      <c r="CM6" s="255">
        <v>0</v>
      </c>
      <c r="CN6" s="255">
        <v>0</v>
      </c>
      <c r="CO6" s="255">
        <v>0</v>
      </c>
      <c r="CP6" s="255">
        <v>0</v>
      </c>
      <c r="CQ6" s="255">
        <v>0</v>
      </c>
      <c r="CR6" s="255">
        <v>0</v>
      </c>
      <c r="CS6" s="255">
        <v>0</v>
      </c>
      <c r="CT6" s="255">
        <v>0</v>
      </c>
      <c r="CU6" s="255">
        <v>0</v>
      </c>
      <c r="CV6" s="255">
        <v>0</v>
      </c>
      <c r="CW6" s="255">
        <v>0</v>
      </c>
      <c r="CX6" s="255">
        <v>143523.16724440121</v>
      </c>
      <c r="CY6" s="255">
        <v>0</v>
      </c>
      <c r="CZ6" s="255">
        <v>0</v>
      </c>
      <c r="DA6" s="255">
        <v>0</v>
      </c>
      <c r="DB6" s="255">
        <v>0</v>
      </c>
      <c r="DC6" s="255">
        <v>0</v>
      </c>
      <c r="DD6" s="255">
        <v>0</v>
      </c>
      <c r="DE6" s="255">
        <v>0</v>
      </c>
      <c r="DF6" s="255">
        <v>0</v>
      </c>
      <c r="DG6" s="255">
        <v>0</v>
      </c>
      <c r="DH6" s="255">
        <v>0</v>
      </c>
      <c r="DI6" s="255">
        <v>0</v>
      </c>
      <c r="DJ6" s="255">
        <v>0</v>
      </c>
      <c r="DK6" s="255">
        <v>0</v>
      </c>
      <c r="DL6" s="255">
        <v>0</v>
      </c>
      <c r="DM6" s="255">
        <v>0</v>
      </c>
      <c r="DN6" s="255">
        <v>0</v>
      </c>
      <c r="DO6" s="255">
        <v>0</v>
      </c>
      <c r="DP6" s="255">
        <v>0</v>
      </c>
      <c r="DQ6" s="255">
        <v>0</v>
      </c>
      <c r="DR6" s="255">
        <v>0</v>
      </c>
      <c r="DS6" s="255">
        <v>0</v>
      </c>
      <c r="DT6" s="255">
        <v>0</v>
      </c>
      <c r="DU6" s="255">
        <v>107312.55057964327</v>
      </c>
      <c r="DV6" s="255">
        <v>141395.78069539822</v>
      </c>
      <c r="DW6" s="255">
        <v>238634.41182748924</v>
      </c>
      <c r="DX6" s="255">
        <v>0</v>
      </c>
      <c r="DY6" s="255">
        <v>0</v>
      </c>
      <c r="DZ6" s="255">
        <v>0</v>
      </c>
      <c r="EA6" s="255"/>
      <c r="EB6" s="255"/>
      <c r="EC6" s="255"/>
      <c r="ED6" s="255"/>
      <c r="EE6" s="255"/>
      <c r="EF6" s="255"/>
      <c r="EG6" s="439" t="s">
        <v>3511</v>
      </c>
      <c r="EH6" s="439" t="s">
        <v>3512</v>
      </c>
    </row>
    <row r="7" spans="1:138" x14ac:dyDescent="0.3">
      <c r="B7" s="435">
        <v>37</v>
      </c>
      <c r="C7" s="252">
        <v>0</v>
      </c>
      <c r="D7" s="252">
        <v>0</v>
      </c>
      <c r="E7" s="252">
        <v>0</v>
      </c>
      <c r="F7" s="252">
        <v>0</v>
      </c>
      <c r="G7" s="252">
        <v>140485.05507224993</v>
      </c>
      <c r="H7" s="252">
        <v>23609.46846887653</v>
      </c>
      <c r="I7" s="252">
        <v>0</v>
      </c>
      <c r="J7" s="252">
        <v>0</v>
      </c>
      <c r="K7" s="252">
        <v>0</v>
      </c>
      <c r="L7" s="252">
        <v>0</v>
      </c>
      <c r="M7" s="252">
        <v>0</v>
      </c>
      <c r="N7" s="252">
        <v>0</v>
      </c>
      <c r="O7" s="252">
        <v>12572.198187364191</v>
      </c>
      <c r="P7" s="252">
        <v>1231.8233361374148</v>
      </c>
      <c r="Q7" s="252">
        <v>203871.86576031378</v>
      </c>
      <c r="R7" s="252">
        <v>0</v>
      </c>
      <c r="S7" s="252">
        <v>0</v>
      </c>
      <c r="T7" s="252">
        <v>0</v>
      </c>
      <c r="U7" s="252">
        <v>103700.20406075248</v>
      </c>
      <c r="V7" s="252">
        <v>0</v>
      </c>
      <c r="W7" s="252">
        <v>0</v>
      </c>
      <c r="X7" s="252">
        <v>0</v>
      </c>
      <c r="Y7" s="252">
        <v>0</v>
      </c>
      <c r="Z7" s="252">
        <v>0</v>
      </c>
      <c r="AA7" s="252">
        <v>0</v>
      </c>
      <c r="AB7" s="252">
        <v>0</v>
      </c>
      <c r="AC7" s="252">
        <v>0</v>
      </c>
      <c r="AD7" s="252">
        <v>0</v>
      </c>
      <c r="AE7" s="252">
        <v>0</v>
      </c>
      <c r="AF7" s="252">
        <v>0</v>
      </c>
      <c r="AG7" s="252">
        <v>0</v>
      </c>
      <c r="AH7" s="252">
        <v>0</v>
      </c>
      <c r="AI7" s="252">
        <v>0</v>
      </c>
      <c r="AJ7" s="252">
        <v>0</v>
      </c>
      <c r="AK7" s="252">
        <v>0</v>
      </c>
      <c r="AL7" s="252">
        <v>25792.125692912374</v>
      </c>
      <c r="AM7" s="252">
        <v>0</v>
      </c>
      <c r="AN7" s="252">
        <v>0</v>
      </c>
      <c r="AO7" s="252">
        <v>0</v>
      </c>
      <c r="AP7" s="252">
        <v>0</v>
      </c>
      <c r="AQ7" s="252">
        <v>0</v>
      </c>
      <c r="AR7" s="252">
        <v>0</v>
      </c>
      <c r="AS7" s="252">
        <v>0</v>
      </c>
      <c r="AT7" s="252">
        <v>0</v>
      </c>
      <c r="AU7" s="252">
        <v>0</v>
      </c>
      <c r="AV7" s="252">
        <v>0</v>
      </c>
      <c r="AW7" s="252">
        <v>78743.640402526784</v>
      </c>
      <c r="AX7" s="252">
        <v>13409.21945763726</v>
      </c>
      <c r="AY7" s="252">
        <v>0</v>
      </c>
      <c r="AZ7" s="252">
        <v>0</v>
      </c>
      <c r="BA7" s="252">
        <v>0</v>
      </c>
      <c r="BB7" s="252">
        <v>0</v>
      </c>
      <c r="BC7" s="252">
        <v>0</v>
      </c>
      <c r="BD7" s="252">
        <v>0</v>
      </c>
      <c r="BE7" s="252">
        <v>0</v>
      </c>
      <c r="BF7" s="252">
        <v>0</v>
      </c>
      <c r="BG7" s="252">
        <v>0</v>
      </c>
      <c r="BH7" s="252">
        <v>0</v>
      </c>
      <c r="BI7" s="252">
        <v>0</v>
      </c>
      <c r="BJ7" s="252">
        <v>0</v>
      </c>
      <c r="BK7" s="252">
        <v>0</v>
      </c>
      <c r="BL7" s="252">
        <v>0</v>
      </c>
      <c r="BM7" s="252">
        <v>0</v>
      </c>
      <c r="BN7" s="252">
        <v>0</v>
      </c>
      <c r="BO7" s="252">
        <v>0</v>
      </c>
      <c r="BP7" s="252">
        <v>0</v>
      </c>
      <c r="BQ7" s="252">
        <v>0</v>
      </c>
      <c r="BR7" s="252">
        <v>0</v>
      </c>
      <c r="BS7" s="252">
        <v>0</v>
      </c>
      <c r="BT7" s="252">
        <v>0</v>
      </c>
      <c r="BU7" s="252">
        <v>0</v>
      </c>
      <c r="BV7" s="252">
        <v>12239.990589636527</v>
      </c>
      <c r="BW7" s="252">
        <v>0</v>
      </c>
      <c r="BX7" s="252">
        <v>0</v>
      </c>
      <c r="BY7" s="252">
        <v>0</v>
      </c>
      <c r="BZ7" s="252">
        <v>0</v>
      </c>
      <c r="CA7" s="252">
        <v>0</v>
      </c>
      <c r="CB7" s="252">
        <v>0</v>
      </c>
      <c r="CC7" s="252">
        <v>0</v>
      </c>
      <c r="CD7" s="252">
        <v>0</v>
      </c>
      <c r="CE7" s="252">
        <v>0</v>
      </c>
      <c r="CF7" s="252">
        <v>0</v>
      </c>
      <c r="CG7" s="252">
        <v>0</v>
      </c>
      <c r="CH7" s="252">
        <v>0</v>
      </c>
      <c r="CI7" s="252">
        <v>0</v>
      </c>
      <c r="CJ7" s="252">
        <v>0</v>
      </c>
      <c r="CK7" s="252">
        <v>0</v>
      </c>
      <c r="CL7" s="252">
        <v>0</v>
      </c>
      <c r="CM7" s="252">
        <v>0</v>
      </c>
      <c r="CN7" s="252">
        <v>0</v>
      </c>
      <c r="CO7" s="252">
        <v>0</v>
      </c>
      <c r="CP7" s="252">
        <v>0</v>
      </c>
      <c r="CQ7" s="252">
        <v>0</v>
      </c>
      <c r="CR7" s="252">
        <v>0</v>
      </c>
      <c r="CS7" s="252">
        <v>0</v>
      </c>
      <c r="CT7" s="252">
        <v>0</v>
      </c>
      <c r="CU7" s="252">
        <v>0</v>
      </c>
      <c r="CV7" s="252">
        <v>0</v>
      </c>
      <c r="CW7" s="252">
        <v>0</v>
      </c>
      <c r="CX7" s="252">
        <v>40978.73471162143</v>
      </c>
      <c r="CY7" s="252">
        <v>0</v>
      </c>
      <c r="CZ7" s="252">
        <v>0</v>
      </c>
      <c r="DA7" s="252">
        <v>0</v>
      </c>
      <c r="DB7" s="252">
        <v>0</v>
      </c>
      <c r="DC7" s="252">
        <v>0</v>
      </c>
      <c r="DD7" s="252">
        <v>0</v>
      </c>
      <c r="DE7" s="252">
        <v>0</v>
      </c>
      <c r="DF7" s="252">
        <v>0</v>
      </c>
      <c r="DG7" s="252">
        <v>0</v>
      </c>
      <c r="DH7" s="252">
        <v>0</v>
      </c>
      <c r="DI7" s="252">
        <v>0</v>
      </c>
      <c r="DJ7" s="252">
        <v>0</v>
      </c>
      <c r="DK7" s="252">
        <v>0</v>
      </c>
      <c r="DL7" s="252">
        <v>0</v>
      </c>
      <c r="DM7" s="252">
        <v>0</v>
      </c>
      <c r="DN7" s="252">
        <v>0</v>
      </c>
      <c r="DO7" s="252">
        <v>0</v>
      </c>
      <c r="DP7" s="252">
        <v>0</v>
      </c>
      <c r="DQ7" s="252">
        <v>0</v>
      </c>
      <c r="DR7" s="252">
        <v>0</v>
      </c>
      <c r="DS7" s="252">
        <v>0</v>
      </c>
      <c r="DT7" s="252">
        <v>0</v>
      </c>
      <c r="DU7" s="252">
        <v>47223.571146290175</v>
      </c>
      <c r="DV7" s="252">
        <v>57696.156010414117</v>
      </c>
      <c r="DW7" s="252">
        <v>93162.252209864513</v>
      </c>
      <c r="DX7" s="252">
        <v>0</v>
      </c>
      <c r="DY7" s="252">
        <v>0</v>
      </c>
      <c r="DZ7" s="252">
        <v>0</v>
      </c>
      <c r="EG7" s="252" t="str">
        <f>VLOOKUP(B7,'2022. tervsor'!C:D,2,0)</f>
        <v>Munkábajárás útiköltsége, bérlet</v>
      </c>
    </row>
    <row r="8" spans="1:138" x14ac:dyDescent="0.3">
      <c r="B8" s="435">
        <v>38</v>
      </c>
      <c r="C8" s="252">
        <v>0</v>
      </c>
      <c r="D8" s="252">
        <v>0</v>
      </c>
      <c r="E8" s="252">
        <v>0</v>
      </c>
      <c r="F8" s="252">
        <v>0</v>
      </c>
      <c r="G8" s="252">
        <v>0</v>
      </c>
      <c r="H8" s="252">
        <v>0</v>
      </c>
      <c r="I8" s="252">
        <v>0</v>
      </c>
      <c r="J8" s="252">
        <v>0</v>
      </c>
      <c r="K8" s="252">
        <v>0</v>
      </c>
      <c r="L8" s="252">
        <v>0</v>
      </c>
      <c r="M8" s="252">
        <v>0</v>
      </c>
      <c r="N8" s="252">
        <v>0</v>
      </c>
      <c r="O8" s="252">
        <v>0</v>
      </c>
      <c r="P8" s="252">
        <v>0</v>
      </c>
      <c r="Q8" s="252">
        <v>0</v>
      </c>
      <c r="R8" s="252">
        <v>0</v>
      </c>
      <c r="S8" s="252">
        <v>0</v>
      </c>
      <c r="T8" s="252">
        <v>0</v>
      </c>
      <c r="U8" s="252">
        <v>0</v>
      </c>
      <c r="V8" s="252">
        <v>0</v>
      </c>
      <c r="W8" s="252">
        <v>0</v>
      </c>
      <c r="X8" s="252">
        <v>0</v>
      </c>
      <c r="Y8" s="252">
        <v>0</v>
      </c>
      <c r="Z8" s="252">
        <v>0</v>
      </c>
      <c r="AA8" s="252">
        <v>0</v>
      </c>
      <c r="AB8" s="252">
        <v>0</v>
      </c>
      <c r="AC8" s="252">
        <v>0</v>
      </c>
      <c r="AD8" s="252">
        <v>0</v>
      </c>
      <c r="AE8" s="252">
        <v>0</v>
      </c>
      <c r="AF8" s="252">
        <v>0</v>
      </c>
      <c r="AG8" s="252">
        <v>0</v>
      </c>
      <c r="AH8" s="252">
        <v>0</v>
      </c>
      <c r="AI8" s="252">
        <v>0</v>
      </c>
      <c r="AJ8" s="252">
        <v>0</v>
      </c>
      <c r="AK8" s="252">
        <v>0</v>
      </c>
      <c r="AL8" s="252">
        <v>0</v>
      </c>
      <c r="AM8" s="252">
        <v>0</v>
      </c>
      <c r="AN8" s="252">
        <v>0</v>
      </c>
      <c r="AO8" s="252">
        <v>0</v>
      </c>
      <c r="AP8" s="252">
        <v>0</v>
      </c>
      <c r="AQ8" s="252">
        <v>0</v>
      </c>
      <c r="AR8" s="252">
        <v>0</v>
      </c>
      <c r="AS8" s="252">
        <v>0</v>
      </c>
      <c r="AT8" s="252">
        <v>0</v>
      </c>
      <c r="AU8" s="252">
        <v>0</v>
      </c>
      <c r="AV8" s="252">
        <v>0</v>
      </c>
      <c r="AW8" s="252">
        <v>0</v>
      </c>
      <c r="AX8" s="252">
        <v>0</v>
      </c>
      <c r="AY8" s="252">
        <v>0</v>
      </c>
      <c r="AZ8" s="252">
        <v>0</v>
      </c>
      <c r="BA8" s="252">
        <v>0</v>
      </c>
      <c r="BB8" s="252">
        <v>0</v>
      </c>
      <c r="BC8" s="252">
        <v>0</v>
      </c>
      <c r="BD8" s="252">
        <v>0</v>
      </c>
      <c r="BE8" s="252">
        <v>0</v>
      </c>
      <c r="BF8" s="252">
        <v>0</v>
      </c>
      <c r="BG8" s="252">
        <v>0</v>
      </c>
      <c r="BH8" s="252">
        <v>0</v>
      </c>
      <c r="BI8" s="252">
        <v>0</v>
      </c>
      <c r="BJ8" s="252">
        <v>0</v>
      </c>
      <c r="BK8" s="252">
        <v>0</v>
      </c>
      <c r="BL8" s="252">
        <v>0</v>
      </c>
      <c r="BM8" s="252">
        <v>0</v>
      </c>
      <c r="BN8" s="252">
        <v>0</v>
      </c>
      <c r="BO8" s="252">
        <v>0</v>
      </c>
      <c r="BP8" s="252">
        <v>0</v>
      </c>
      <c r="BQ8" s="252">
        <v>0</v>
      </c>
      <c r="BR8" s="252">
        <v>0</v>
      </c>
      <c r="BS8" s="252">
        <v>0</v>
      </c>
      <c r="BT8" s="252">
        <v>0</v>
      </c>
      <c r="BU8" s="252">
        <v>0</v>
      </c>
      <c r="BV8" s="252">
        <v>0</v>
      </c>
      <c r="BW8" s="252">
        <v>0</v>
      </c>
      <c r="BX8" s="252">
        <v>0</v>
      </c>
      <c r="BY8" s="252">
        <v>0</v>
      </c>
      <c r="BZ8" s="252">
        <v>0</v>
      </c>
      <c r="CA8" s="252">
        <v>0</v>
      </c>
      <c r="CB8" s="252">
        <v>0</v>
      </c>
      <c r="CC8" s="252">
        <v>0</v>
      </c>
      <c r="CD8" s="252">
        <v>0</v>
      </c>
      <c r="CE8" s="252">
        <v>0</v>
      </c>
      <c r="CF8" s="252">
        <v>0</v>
      </c>
      <c r="CG8" s="252">
        <v>0</v>
      </c>
      <c r="CH8" s="252">
        <v>0</v>
      </c>
      <c r="CI8" s="252">
        <v>0</v>
      </c>
      <c r="CJ8" s="252">
        <v>0</v>
      </c>
      <c r="CK8" s="252">
        <v>0</v>
      </c>
      <c r="CL8" s="252">
        <v>0</v>
      </c>
      <c r="CM8" s="252">
        <v>0</v>
      </c>
      <c r="CN8" s="252">
        <v>0</v>
      </c>
      <c r="CO8" s="252">
        <v>0</v>
      </c>
      <c r="CP8" s="252">
        <v>0</v>
      </c>
      <c r="CQ8" s="252">
        <v>0</v>
      </c>
      <c r="CR8" s="252">
        <v>0</v>
      </c>
      <c r="CS8" s="252">
        <v>0</v>
      </c>
      <c r="CT8" s="252">
        <v>0</v>
      </c>
      <c r="CU8" s="252">
        <v>0</v>
      </c>
      <c r="CV8" s="252">
        <v>0</v>
      </c>
      <c r="CW8" s="252">
        <v>0</v>
      </c>
      <c r="CX8" s="252">
        <v>0</v>
      </c>
      <c r="CY8" s="252">
        <v>0</v>
      </c>
      <c r="CZ8" s="252">
        <v>0</v>
      </c>
      <c r="DA8" s="252">
        <v>0</v>
      </c>
      <c r="DB8" s="252">
        <v>0</v>
      </c>
      <c r="DC8" s="252">
        <v>0</v>
      </c>
      <c r="DD8" s="252">
        <v>0</v>
      </c>
      <c r="DE8" s="252">
        <v>0</v>
      </c>
      <c r="DF8" s="252">
        <v>0</v>
      </c>
      <c r="DG8" s="252">
        <v>0</v>
      </c>
      <c r="DH8" s="252">
        <v>0</v>
      </c>
      <c r="DI8" s="252">
        <v>0</v>
      </c>
      <c r="DJ8" s="252">
        <v>0</v>
      </c>
      <c r="DK8" s="252">
        <v>0</v>
      </c>
      <c r="DL8" s="252">
        <v>0</v>
      </c>
      <c r="DM8" s="252">
        <v>0</v>
      </c>
      <c r="DN8" s="252">
        <v>0</v>
      </c>
      <c r="DO8" s="252">
        <v>0</v>
      </c>
      <c r="DP8" s="252">
        <v>0</v>
      </c>
      <c r="DQ8" s="252">
        <v>0</v>
      </c>
      <c r="DR8" s="252">
        <v>0</v>
      </c>
      <c r="DS8" s="252">
        <v>0</v>
      </c>
      <c r="DT8" s="252">
        <v>0</v>
      </c>
      <c r="DU8" s="252">
        <v>8085.4024753958047</v>
      </c>
      <c r="DV8" s="252">
        <v>10702.007920685466</v>
      </c>
      <c r="DW8" s="252">
        <v>18108.579307632612</v>
      </c>
      <c r="DX8" s="252">
        <v>0</v>
      </c>
      <c r="DY8" s="252">
        <v>0</v>
      </c>
      <c r="DZ8" s="252">
        <v>0</v>
      </c>
      <c r="EG8" s="252" t="str">
        <f>VLOOKUP(B8,'2022. tervsor'!C:D,2,0)</f>
        <v>Munkábajárás útiköltsége - saját gk. (9 Ft/km)</v>
      </c>
    </row>
    <row r="9" spans="1:138" x14ac:dyDescent="0.3">
      <c r="B9" s="435">
        <v>40</v>
      </c>
      <c r="C9" s="252">
        <v>0</v>
      </c>
      <c r="D9" s="252">
        <v>0</v>
      </c>
      <c r="E9" s="252">
        <v>0</v>
      </c>
      <c r="F9" s="252">
        <v>0</v>
      </c>
      <c r="G9" s="252">
        <v>0</v>
      </c>
      <c r="H9" s="252">
        <v>0</v>
      </c>
      <c r="I9" s="252">
        <v>0</v>
      </c>
      <c r="J9" s="252">
        <v>0</v>
      </c>
      <c r="K9" s="252">
        <v>0</v>
      </c>
      <c r="L9" s="252">
        <v>0</v>
      </c>
      <c r="M9" s="252">
        <v>0</v>
      </c>
      <c r="N9" s="252">
        <v>0</v>
      </c>
      <c r="O9" s="252">
        <v>0</v>
      </c>
      <c r="P9" s="252">
        <v>0</v>
      </c>
      <c r="Q9" s="252">
        <v>0</v>
      </c>
      <c r="R9" s="252">
        <v>0</v>
      </c>
      <c r="S9" s="252">
        <v>0</v>
      </c>
      <c r="T9" s="252">
        <v>0</v>
      </c>
      <c r="U9" s="252">
        <v>0</v>
      </c>
      <c r="V9" s="252">
        <v>0</v>
      </c>
      <c r="W9" s="252">
        <v>303827.61585282726</v>
      </c>
      <c r="X9" s="252">
        <v>0</v>
      </c>
      <c r="Y9" s="252">
        <v>0</v>
      </c>
      <c r="Z9" s="252">
        <v>0</v>
      </c>
      <c r="AA9" s="252">
        <v>0</v>
      </c>
      <c r="AB9" s="252">
        <v>0</v>
      </c>
      <c r="AC9" s="252">
        <v>0</v>
      </c>
      <c r="AD9" s="252">
        <v>0</v>
      </c>
      <c r="AE9" s="252">
        <v>0</v>
      </c>
      <c r="AF9" s="252">
        <v>0</v>
      </c>
      <c r="AG9" s="252">
        <v>0</v>
      </c>
      <c r="AH9" s="252">
        <v>0</v>
      </c>
      <c r="AI9" s="252">
        <v>0</v>
      </c>
      <c r="AJ9" s="252">
        <v>0</v>
      </c>
      <c r="AK9" s="252">
        <v>0</v>
      </c>
      <c r="AL9" s="252">
        <v>0</v>
      </c>
      <c r="AM9" s="252">
        <v>332136.77256117406</v>
      </c>
      <c r="AN9" s="252">
        <v>0</v>
      </c>
      <c r="AO9" s="252">
        <v>0</v>
      </c>
      <c r="AP9" s="252">
        <v>0</v>
      </c>
      <c r="AQ9" s="252">
        <v>0</v>
      </c>
      <c r="AR9" s="252">
        <v>0</v>
      </c>
      <c r="AS9" s="252">
        <v>0</v>
      </c>
      <c r="AT9" s="252">
        <v>0</v>
      </c>
      <c r="AU9" s="252">
        <v>0</v>
      </c>
      <c r="AV9" s="252">
        <v>0</v>
      </c>
      <c r="AW9" s="252">
        <v>0</v>
      </c>
      <c r="AX9" s="252">
        <v>0</v>
      </c>
      <c r="AY9" s="252">
        <v>0</v>
      </c>
      <c r="AZ9" s="252">
        <v>0</v>
      </c>
      <c r="BA9" s="252">
        <v>0</v>
      </c>
      <c r="BB9" s="252">
        <v>0</v>
      </c>
      <c r="BC9" s="252">
        <v>0</v>
      </c>
      <c r="BD9" s="252">
        <v>0</v>
      </c>
      <c r="BE9" s="252">
        <v>0</v>
      </c>
      <c r="BF9" s="252">
        <v>0</v>
      </c>
      <c r="BG9" s="252">
        <v>0</v>
      </c>
      <c r="BH9" s="252">
        <v>0</v>
      </c>
      <c r="BI9" s="252">
        <v>0</v>
      </c>
      <c r="BJ9" s="252">
        <v>0</v>
      </c>
      <c r="BK9" s="252">
        <v>0</v>
      </c>
      <c r="BL9" s="252">
        <v>0</v>
      </c>
      <c r="BM9" s="252">
        <v>0</v>
      </c>
      <c r="BN9" s="252">
        <v>0</v>
      </c>
      <c r="BO9" s="252">
        <v>0</v>
      </c>
      <c r="BP9" s="252">
        <v>0</v>
      </c>
      <c r="BQ9" s="252">
        <v>0</v>
      </c>
      <c r="BR9" s="252">
        <v>0</v>
      </c>
      <c r="BS9" s="252">
        <v>0</v>
      </c>
      <c r="BT9" s="252">
        <v>0</v>
      </c>
      <c r="BU9" s="252">
        <v>0</v>
      </c>
      <c r="BV9" s="252">
        <v>0</v>
      </c>
      <c r="BW9" s="252">
        <v>0</v>
      </c>
      <c r="BX9" s="252">
        <v>0</v>
      </c>
      <c r="BY9" s="252">
        <v>0</v>
      </c>
      <c r="BZ9" s="252">
        <v>0</v>
      </c>
      <c r="CA9" s="252">
        <v>0</v>
      </c>
      <c r="CB9" s="252">
        <v>0</v>
      </c>
      <c r="CC9" s="252">
        <v>0</v>
      </c>
      <c r="CD9" s="252">
        <v>0</v>
      </c>
      <c r="CE9" s="252">
        <v>0</v>
      </c>
      <c r="CF9" s="252">
        <v>0</v>
      </c>
      <c r="CG9" s="252">
        <v>0</v>
      </c>
      <c r="CH9" s="252">
        <v>0</v>
      </c>
      <c r="CI9" s="252">
        <v>0</v>
      </c>
      <c r="CJ9" s="252">
        <v>0</v>
      </c>
      <c r="CK9" s="252">
        <v>0</v>
      </c>
      <c r="CL9" s="252">
        <v>0</v>
      </c>
      <c r="CM9" s="252">
        <v>0</v>
      </c>
      <c r="CN9" s="252">
        <v>0</v>
      </c>
      <c r="CO9" s="252">
        <v>0</v>
      </c>
      <c r="CP9" s="252">
        <v>0</v>
      </c>
      <c r="CQ9" s="252">
        <v>0</v>
      </c>
      <c r="CR9" s="252">
        <v>0</v>
      </c>
      <c r="CS9" s="252">
        <v>0</v>
      </c>
      <c r="CT9" s="252">
        <v>0</v>
      </c>
      <c r="CU9" s="252">
        <v>0</v>
      </c>
      <c r="CV9" s="252">
        <v>0</v>
      </c>
      <c r="CW9" s="252">
        <v>0</v>
      </c>
      <c r="CX9" s="252">
        <v>14352.316724440119</v>
      </c>
      <c r="CY9" s="252">
        <v>0</v>
      </c>
      <c r="CZ9" s="252">
        <v>0</v>
      </c>
      <c r="DA9" s="252">
        <v>0</v>
      </c>
      <c r="DB9" s="252">
        <v>0</v>
      </c>
      <c r="DC9" s="252">
        <v>0</v>
      </c>
      <c r="DD9" s="252">
        <v>0</v>
      </c>
      <c r="DE9" s="252">
        <v>0</v>
      </c>
      <c r="DF9" s="252">
        <v>0</v>
      </c>
      <c r="DG9" s="252">
        <v>0</v>
      </c>
      <c r="DH9" s="252">
        <v>0</v>
      </c>
      <c r="DI9" s="252">
        <v>0</v>
      </c>
      <c r="DJ9" s="252">
        <v>0</v>
      </c>
      <c r="DK9" s="252">
        <v>0</v>
      </c>
      <c r="DL9" s="252">
        <v>0</v>
      </c>
      <c r="DM9" s="252">
        <v>0</v>
      </c>
      <c r="DN9" s="252">
        <v>0</v>
      </c>
      <c r="DO9" s="252">
        <v>0</v>
      </c>
      <c r="DP9" s="252">
        <v>0</v>
      </c>
      <c r="DQ9" s="252">
        <v>0</v>
      </c>
      <c r="DR9" s="252">
        <v>0</v>
      </c>
      <c r="DS9" s="252">
        <v>0</v>
      </c>
      <c r="DT9" s="252">
        <v>0</v>
      </c>
      <c r="DU9" s="252">
        <v>0</v>
      </c>
      <c r="DV9" s="252">
        <v>0</v>
      </c>
      <c r="DW9" s="252">
        <v>0</v>
      </c>
      <c r="DX9" s="252">
        <v>0</v>
      </c>
      <c r="DY9" s="252">
        <v>0</v>
      </c>
      <c r="DZ9" s="252">
        <v>0</v>
      </c>
      <c r="EG9" s="252" t="str">
        <f>VLOOKUP(B9,'2022. tervsor'!C:D,2,0)</f>
        <v>Lakhatási támogatás,albérleti hozzájárulás</v>
      </c>
    </row>
    <row r="10" spans="1:138" x14ac:dyDescent="0.3">
      <c r="B10" s="435">
        <v>45</v>
      </c>
      <c r="C10" s="252">
        <v>0</v>
      </c>
      <c r="D10" s="252">
        <v>0</v>
      </c>
      <c r="E10" s="252">
        <v>0</v>
      </c>
      <c r="F10" s="252">
        <v>0</v>
      </c>
      <c r="G10" s="252">
        <v>0</v>
      </c>
      <c r="H10" s="252">
        <v>0</v>
      </c>
      <c r="I10" s="252">
        <v>0</v>
      </c>
      <c r="J10" s="252">
        <v>0</v>
      </c>
      <c r="K10" s="252">
        <v>0</v>
      </c>
      <c r="L10" s="252">
        <v>0</v>
      </c>
      <c r="M10" s="252">
        <v>0</v>
      </c>
      <c r="N10" s="252">
        <v>0</v>
      </c>
      <c r="O10" s="252">
        <v>0</v>
      </c>
      <c r="P10" s="252">
        <v>0</v>
      </c>
      <c r="Q10" s="252">
        <v>0</v>
      </c>
      <c r="R10" s="252">
        <v>0</v>
      </c>
      <c r="S10" s="252">
        <v>0</v>
      </c>
      <c r="T10" s="252">
        <v>5701.2687615622845</v>
      </c>
      <c r="U10" s="252">
        <v>0</v>
      </c>
      <c r="V10" s="252">
        <v>0</v>
      </c>
      <c r="W10" s="252">
        <v>0</v>
      </c>
      <c r="X10" s="252">
        <v>0</v>
      </c>
      <c r="Y10" s="252">
        <v>0</v>
      </c>
      <c r="Z10" s="252">
        <v>0</v>
      </c>
      <c r="AA10" s="252">
        <v>0</v>
      </c>
      <c r="AB10" s="252">
        <v>0</v>
      </c>
      <c r="AC10" s="252">
        <v>0</v>
      </c>
      <c r="AD10" s="252">
        <v>0</v>
      </c>
      <c r="AE10" s="252">
        <v>0</v>
      </c>
      <c r="AF10" s="252">
        <v>0</v>
      </c>
      <c r="AG10" s="252">
        <v>0</v>
      </c>
      <c r="AH10" s="252">
        <v>0</v>
      </c>
      <c r="AI10" s="252">
        <v>0</v>
      </c>
      <c r="AJ10" s="252">
        <v>0</v>
      </c>
      <c r="AK10" s="252">
        <v>0</v>
      </c>
      <c r="AL10" s="252">
        <v>145218.82275079182</v>
      </c>
      <c r="AM10" s="252">
        <v>0</v>
      </c>
      <c r="AN10" s="252">
        <v>0</v>
      </c>
      <c r="AO10" s="252">
        <v>0</v>
      </c>
      <c r="AP10" s="252">
        <v>0</v>
      </c>
      <c r="AQ10" s="252">
        <v>0</v>
      </c>
      <c r="AR10" s="252">
        <v>0</v>
      </c>
      <c r="AS10" s="252">
        <v>0</v>
      </c>
      <c r="AT10" s="252">
        <v>0</v>
      </c>
      <c r="AU10" s="252">
        <v>0</v>
      </c>
      <c r="AV10" s="252">
        <v>0</v>
      </c>
      <c r="AW10" s="252">
        <v>0</v>
      </c>
      <c r="AX10" s="252">
        <v>0</v>
      </c>
      <c r="AY10" s="252">
        <v>0</v>
      </c>
      <c r="AZ10" s="252">
        <v>0</v>
      </c>
      <c r="BA10" s="252">
        <v>0</v>
      </c>
      <c r="BB10" s="252">
        <v>0</v>
      </c>
      <c r="BC10" s="252">
        <v>0</v>
      </c>
      <c r="BD10" s="252">
        <v>0</v>
      </c>
      <c r="BE10" s="252">
        <v>0</v>
      </c>
      <c r="BF10" s="252">
        <v>0</v>
      </c>
      <c r="BG10" s="252">
        <v>0</v>
      </c>
      <c r="BH10" s="252">
        <v>0</v>
      </c>
      <c r="BI10" s="252">
        <v>0</v>
      </c>
      <c r="BJ10" s="252">
        <v>0</v>
      </c>
      <c r="BK10" s="252">
        <v>0</v>
      </c>
      <c r="BL10" s="252">
        <v>0</v>
      </c>
      <c r="BM10" s="252">
        <v>0</v>
      </c>
      <c r="BN10" s="252">
        <v>0</v>
      </c>
      <c r="BO10" s="252">
        <v>0</v>
      </c>
      <c r="BP10" s="252">
        <v>0</v>
      </c>
      <c r="BQ10" s="252">
        <v>0</v>
      </c>
      <c r="BR10" s="252">
        <v>0</v>
      </c>
      <c r="BS10" s="252">
        <v>0</v>
      </c>
      <c r="BT10" s="252">
        <v>0</v>
      </c>
      <c r="BU10" s="252">
        <v>0</v>
      </c>
      <c r="BV10" s="252">
        <v>0</v>
      </c>
      <c r="BW10" s="252">
        <v>0</v>
      </c>
      <c r="BX10" s="252">
        <v>0</v>
      </c>
      <c r="BY10" s="252">
        <v>0</v>
      </c>
      <c r="BZ10" s="252">
        <v>0</v>
      </c>
      <c r="CA10" s="252">
        <v>0</v>
      </c>
      <c r="CB10" s="252">
        <v>0</v>
      </c>
      <c r="CC10" s="252">
        <v>0</v>
      </c>
      <c r="CD10" s="252">
        <v>0</v>
      </c>
      <c r="CE10" s="252">
        <v>0</v>
      </c>
      <c r="CF10" s="252">
        <v>0</v>
      </c>
      <c r="CG10" s="252">
        <v>0</v>
      </c>
      <c r="CH10" s="252">
        <v>0</v>
      </c>
      <c r="CI10" s="252">
        <v>0</v>
      </c>
      <c r="CJ10" s="252">
        <v>0</v>
      </c>
      <c r="CK10" s="252">
        <v>0</v>
      </c>
      <c r="CL10" s="252">
        <v>0</v>
      </c>
      <c r="CM10" s="252">
        <v>12796.231418258305</v>
      </c>
      <c r="CN10" s="252">
        <v>0</v>
      </c>
      <c r="CO10" s="252">
        <v>0</v>
      </c>
      <c r="CP10" s="252">
        <v>0</v>
      </c>
      <c r="CQ10" s="252">
        <v>0</v>
      </c>
      <c r="CR10" s="252">
        <v>0</v>
      </c>
      <c r="CS10" s="252">
        <v>0</v>
      </c>
      <c r="CT10" s="252">
        <v>0</v>
      </c>
      <c r="CU10" s="252">
        <v>0</v>
      </c>
      <c r="CV10" s="252">
        <v>0</v>
      </c>
      <c r="CW10" s="252">
        <v>0</v>
      </c>
      <c r="CX10" s="252">
        <v>0</v>
      </c>
      <c r="CY10" s="252">
        <v>0</v>
      </c>
      <c r="CZ10" s="252">
        <v>0</v>
      </c>
      <c r="DA10" s="252">
        <v>0</v>
      </c>
      <c r="DB10" s="252">
        <v>0</v>
      </c>
      <c r="DC10" s="252">
        <v>0</v>
      </c>
      <c r="DD10" s="252">
        <v>0</v>
      </c>
      <c r="DE10" s="252">
        <v>0</v>
      </c>
      <c r="DF10" s="252">
        <v>0</v>
      </c>
      <c r="DG10" s="252">
        <v>0</v>
      </c>
      <c r="DH10" s="252">
        <v>0</v>
      </c>
      <c r="DI10" s="252">
        <v>0</v>
      </c>
      <c r="DJ10" s="252">
        <v>0</v>
      </c>
      <c r="DK10" s="252">
        <v>0</v>
      </c>
      <c r="DL10" s="252">
        <v>0</v>
      </c>
      <c r="DM10" s="252">
        <v>0</v>
      </c>
      <c r="DN10" s="252">
        <v>0</v>
      </c>
      <c r="DO10" s="252">
        <v>0</v>
      </c>
      <c r="DP10" s="252">
        <v>0</v>
      </c>
      <c r="DQ10" s="252">
        <v>0</v>
      </c>
      <c r="DR10" s="252">
        <v>0</v>
      </c>
      <c r="DS10" s="252">
        <v>0</v>
      </c>
      <c r="DT10" s="252">
        <v>0</v>
      </c>
      <c r="DU10" s="252">
        <v>0</v>
      </c>
      <c r="DV10" s="252">
        <v>0</v>
      </c>
      <c r="DW10" s="252">
        <v>0</v>
      </c>
      <c r="DX10" s="252">
        <v>0</v>
      </c>
      <c r="DY10" s="252">
        <v>0</v>
      </c>
      <c r="DZ10" s="252">
        <v>0</v>
      </c>
      <c r="EG10" s="252" t="str">
        <f>VLOOKUP(B10,'2022. tervsor'!C:D,2,0)</f>
        <v>Bérkompenzáció (teljes és részmunkaidős foglalk.)</v>
      </c>
    </row>
    <row r="11" spans="1:138" x14ac:dyDescent="0.3">
      <c r="B11" s="435">
        <v>47</v>
      </c>
      <c r="C11" s="252">
        <v>0</v>
      </c>
      <c r="D11" s="252">
        <v>0</v>
      </c>
      <c r="E11" s="252">
        <v>0</v>
      </c>
      <c r="F11" s="252">
        <v>0</v>
      </c>
      <c r="G11" s="252">
        <v>0</v>
      </c>
      <c r="H11" s="252">
        <v>0</v>
      </c>
      <c r="I11" s="252">
        <v>0</v>
      </c>
      <c r="J11" s="252">
        <v>0</v>
      </c>
      <c r="K11" s="252">
        <v>0</v>
      </c>
      <c r="L11" s="252">
        <v>0</v>
      </c>
      <c r="M11" s="252">
        <v>0</v>
      </c>
      <c r="N11" s="252">
        <v>0</v>
      </c>
      <c r="O11" s="252">
        <v>0</v>
      </c>
      <c r="P11" s="252">
        <v>0</v>
      </c>
      <c r="Q11" s="252">
        <v>195393.99926642817</v>
      </c>
      <c r="R11" s="252">
        <v>0</v>
      </c>
      <c r="S11" s="252">
        <v>0</v>
      </c>
      <c r="T11" s="252">
        <v>0</v>
      </c>
      <c r="U11" s="252">
        <v>0</v>
      </c>
      <c r="V11" s="252">
        <v>0</v>
      </c>
      <c r="W11" s="252">
        <v>0</v>
      </c>
      <c r="X11" s="252">
        <v>0</v>
      </c>
      <c r="Y11" s="252">
        <v>0</v>
      </c>
      <c r="Z11" s="252">
        <v>0</v>
      </c>
      <c r="AA11" s="252">
        <v>0</v>
      </c>
      <c r="AB11" s="252">
        <v>0</v>
      </c>
      <c r="AC11" s="252">
        <v>0</v>
      </c>
      <c r="AD11" s="252">
        <v>0</v>
      </c>
      <c r="AE11" s="252">
        <v>0</v>
      </c>
      <c r="AF11" s="252">
        <v>0</v>
      </c>
      <c r="AG11" s="252">
        <v>0</v>
      </c>
      <c r="AH11" s="252">
        <v>0</v>
      </c>
      <c r="AI11" s="252">
        <v>0</v>
      </c>
      <c r="AJ11" s="252">
        <v>0</v>
      </c>
      <c r="AK11" s="252">
        <v>0</v>
      </c>
      <c r="AL11" s="252">
        <v>0</v>
      </c>
      <c r="AM11" s="252">
        <v>0</v>
      </c>
      <c r="AN11" s="252">
        <v>0</v>
      </c>
      <c r="AO11" s="252">
        <v>0</v>
      </c>
      <c r="AP11" s="252">
        <v>0</v>
      </c>
      <c r="AQ11" s="252">
        <v>0</v>
      </c>
      <c r="AR11" s="252">
        <v>0</v>
      </c>
      <c r="AS11" s="252">
        <v>0</v>
      </c>
      <c r="AT11" s="252">
        <v>0</v>
      </c>
      <c r="AU11" s="252">
        <v>0</v>
      </c>
      <c r="AV11" s="252">
        <v>0</v>
      </c>
      <c r="AW11" s="252">
        <v>0</v>
      </c>
      <c r="AX11" s="252">
        <v>0</v>
      </c>
      <c r="AY11" s="252">
        <v>0</v>
      </c>
      <c r="AZ11" s="252">
        <v>0</v>
      </c>
      <c r="BA11" s="252">
        <v>0</v>
      </c>
      <c r="BB11" s="252">
        <v>0</v>
      </c>
      <c r="BC11" s="252">
        <v>0</v>
      </c>
      <c r="BD11" s="252">
        <v>0</v>
      </c>
      <c r="BE11" s="252">
        <v>0</v>
      </c>
      <c r="BF11" s="252">
        <v>0</v>
      </c>
      <c r="BG11" s="252">
        <v>0</v>
      </c>
      <c r="BH11" s="252">
        <v>0</v>
      </c>
      <c r="BI11" s="252">
        <v>0</v>
      </c>
      <c r="BJ11" s="252">
        <v>0</v>
      </c>
      <c r="BK11" s="252">
        <v>0</v>
      </c>
      <c r="BL11" s="252">
        <v>0</v>
      </c>
      <c r="BM11" s="252">
        <v>0</v>
      </c>
      <c r="BN11" s="252">
        <v>0</v>
      </c>
      <c r="BO11" s="252">
        <v>0</v>
      </c>
      <c r="BP11" s="252">
        <v>0</v>
      </c>
      <c r="BQ11" s="252">
        <v>0</v>
      </c>
      <c r="BR11" s="252">
        <v>0</v>
      </c>
      <c r="BS11" s="252">
        <v>0</v>
      </c>
      <c r="BT11" s="252">
        <v>0</v>
      </c>
      <c r="BU11" s="252">
        <v>0</v>
      </c>
      <c r="BV11" s="252">
        <v>0</v>
      </c>
      <c r="BW11" s="252">
        <v>0</v>
      </c>
      <c r="BX11" s="252">
        <v>0</v>
      </c>
      <c r="BY11" s="252">
        <v>0</v>
      </c>
      <c r="BZ11" s="252">
        <v>0</v>
      </c>
      <c r="CA11" s="252">
        <v>0</v>
      </c>
      <c r="CB11" s="252">
        <v>0</v>
      </c>
      <c r="CC11" s="252">
        <v>0</v>
      </c>
      <c r="CD11" s="252">
        <v>0</v>
      </c>
      <c r="CE11" s="252">
        <v>0</v>
      </c>
      <c r="CF11" s="252">
        <v>0</v>
      </c>
      <c r="CG11" s="252">
        <v>0</v>
      </c>
      <c r="CH11" s="252">
        <v>0</v>
      </c>
      <c r="CI11" s="252">
        <v>0</v>
      </c>
      <c r="CJ11" s="252">
        <v>0</v>
      </c>
      <c r="CK11" s="252">
        <v>0</v>
      </c>
      <c r="CL11" s="252">
        <v>0</v>
      </c>
      <c r="CM11" s="252">
        <v>0</v>
      </c>
      <c r="CN11" s="252">
        <v>0</v>
      </c>
      <c r="CO11" s="252">
        <v>0</v>
      </c>
      <c r="CP11" s="252">
        <v>0</v>
      </c>
      <c r="CQ11" s="252">
        <v>0</v>
      </c>
      <c r="CR11" s="252">
        <v>0</v>
      </c>
      <c r="CS11" s="252">
        <v>0</v>
      </c>
      <c r="CT11" s="252">
        <v>0</v>
      </c>
      <c r="CU11" s="252">
        <v>0</v>
      </c>
      <c r="CV11" s="252">
        <v>0</v>
      </c>
      <c r="CW11" s="252">
        <v>0</v>
      </c>
      <c r="CX11" s="252">
        <v>0</v>
      </c>
      <c r="CY11" s="252">
        <v>0</v>
      </c>
      <c r="CZ11" s="252">
        <v>0</v>
      </c>
      <c r="DA11" s="252">
        <v>0</v>
      </c>
      <c r="DB11" s="252">
        <v>0</v>
      </c>
      <c r="DC11" s="252">
        <v>0</v>
      </c>
      <c r="DD11" s="252">
        <v>0</v>
      </c>
      <c r="DE11" s="252">
        <v>0</v>
      </c>
      <c r="DF11" s="252">
        <v>0</v>
      </c>
      <c r="DG11" s="252">
        <v>0</v>
      </c>
      <c r="DH11" s="252">
        <v>367452.45490100252</v>
      </c>
      <c r="DI11" s="252">
        <v>358949.98433878255</v>
      </c>
      <c r="DJ11" s="252">
        <v>2659817.8788578142</v>
      </c>
      <c r="DK11" s="252">
        <v>9096.4502164502373</v>
      </c>
      <c r="DL11" s="252">
        <v>739958.85114557354</v>
      </c>
      <c r="DM11" s="252">
        <v>583787.57648311043</v>
      </c>
      <c r="DN11" s="252">
        <v>402024.53791218594</v>
      </c>
      <c r="DO11" s="252">
        <v>99052.432900432905</v>
      </c>
      <c r="DP11" s="252">
        <v>100493.3663830625</v>
      </c>
      <c r="DQ11" s="252">
        <v>74199.086580086587</v>
      </c>
      <c r="DR11" s="252">
        <v>2520000</v>
      </c>
      <c r="DS11" s="252">
        <v>740065.80086580082</v>
      </c>
      <c r="DT11" s="252">
        <v>0</v>
      </c>
      <c r="DU11" s="252">
        <v>0</v>
      </c>
      <c r="DV11" s="252">
        <v>0</v>
      </c>
      <c r="DW11" s="252">
        <v>0</v>
      </c>
      <c r="DX11" s="252">
        <v>0</v>
      </c>
      <c r="DY11" s="252">
        <v>0</v>
      </c>
      <c r="DZ11" s="252">
        <v>0</v>
      </c>
      <c r="EG11" s="252" t="str">
        <f>VLOOKUP(B11,'2022. tervsor'!C:D,2,0)</f>
        <v>Külső megbízott megbízási díj teljesítése</v>
      </c>
    </row>
    <row r="12" spans="1:138" x14ac:dyDescent="0.3">
      <c r="B12" s="435">
        <v>52</v>
      </c>
      <c r="C12" s="252">
        <v>0</v>
      </c>
      <c r="D12" s="252">
        <v>0</v>
      </c>
      <c r="E12" s="252">
        <v>0</v>
      </c>
      <c r="F12" s="252">
        <v>0</v>
      </c>
      <c r="G12" s="252">
        <v>0</v>
      </c>
      <c r="H12" s="252">
        <v>0</v>
      </c>
      <c r="I12" s="252">
        <v>0</v>
      </c>
      <c r="J12" s="252">
        <v>0</v>
      </c>
      <c r="K12" s="252">
        <v>0</v>
      </c>
      <c r="L12" s="252">
        <v>0</v>
      </c>
      <c r="M12" s="252">
        <v>0</v>
      </c>
      <c r="N12" s="252">
        <v>0</v>
      </c>
      <c r="O12" s="252">
        <v>0</v>
      </c>
      <c r="P12" s="252">
        <v>0</v>
      </c>
      <c r="Q12" s="252">
        <v>0</v>
      </c>
      <c r="R12" s="252">
        <v>0</v>
      </c>
      <c r="S12" s="252">
        <v>0</v>
      </c>
      <c r="T12" s="252">
        <v>0</v>
      </c>
      <c r="U12" s="252">
        <v>0</v>
      </c>
      <c r="V12" s="252">
        <v>0</v>
      </c>
      <c r="W12" s="252">
        <v>0</v>
      </c>
      <c r="X12" s="252">
        <v>0</v>
      </c>
      <c r="Y12" s="252">
        <v>0</v>
      </c>
      <c r="Z12" s="252">
        <v>0</v>
      </c>
      <c r="AA12" s="252">
        <v>0</v>
      </c>
      <c r="AB12" s="252">
        <v>0</v>
      </c>
      <c r="AC12" s="252">
        <v>0</v>
      </c>
      <c r="AD12" s="252">
        <v>0</v>
      </c>
      <c r="AE12" s="252">
        <v>0</v>
      </c>
      <c r="AF12" s="252">
        <v>0</v>
      </c>
      <c r="AG12" s="252">
        <v>0</v>
      </c>
      <c r="AH12" s="252">
        <v>0</v>
      </c>
      <c r="AI12" s="252">
        <v>0</v>
      </c>
      <c r="AJ12" s="252">
        <v>0</v>
      </c>
      <c r="AK12" s="252">
        <v>0</v>
      </c>
      <c r="AL12" s="252">
        <v>0</v>
      </c>
      <c r="AM12" s="252">
        <v>0</v>
      </c>
      <c r="AN12" s="252">
        <v>0</v>
      </c>
      <c r="AO12" s="252">
        <v>0</v>
      </c>
      <c r="AP12" s="252">
        <v>0</v>
      </c>
      <c r="AQ12" s="252">
        <v>0</v>
      </c>
      <c r="AR12" s="252">
        <v>1068872.6094891608</v>
      </c>
      <c r="AS12" s="252">
        <v>0</v>
      </c>
      <c r="AT12" s="252">
        <v>0</v>
      </c>
      <c r="AU12" s="252">
        <v>0</v>
      </c>
      <c r="AV12" s="252">
        <v>0</v>
      </c>
      <c r="AW12" s="252">
        <v>0</v>
      </c>
      <c r="AX12" s="252">
        <v>0</v>
      </c>
      <c r="AY12" s="252">
        <v>0</v>
      </c>
      <c r="AZ12" s="252">
        <v>0</v>
      </c>
      <c r="BA12" s="252">
        <v>0</v>
      </c>
      <c r="BB12" s="252">
        <v>0</v>
      </c>
      <c r="BC12" s="252">
        <v>0</v>
      </c>
      <c r="BD12" s="252">
        <v>0</v>
      </c>
      <c r="BE12" s="252">
        <v>0</v>
      </c>
      <c r="BF12" s="252">
        <v>0</v>
      </c>
      <c r="BG12" s="252">
        <v>0</v>
      </c>
      <c r="BH12" s="252">
        <v>0</v>
      </c>
      <c r="BI12" s="252">
        <v>0</v>
      </c>
      <c r="BJ12" s="252">
        <v>0</v>
      </c>
      <c r="BK12" s="252">
        <v>0</v>
      </c>
      <c r="BL12" s="252">
        <v>644359.3474914612</v>
      </c>
      <c r="BM12" s="252">
        <v>0</v>
      </c>
      <c r="BN12" s="252">
        <v>0</v>
      </c>
      <c r="BO12" s="252">
        <v>0</v>
      </c>
      <c r="BP12" s="252">
        <v>303905.28138528141</v>
      </c>
      <c r="BQ12" s="252">
        <v>0</v>
      </c>
      <c r="BR12" s="252">
        <v>0</v>
      </c>
      <c r="BS12" s="252">
        <v>0</v>
      </c>
      <c r="BT12" s="252">
        <v>0</v>
      </c>
      <c r="BU12" s="252">
        <v>0</v>
      </c>
      <c r="BV12" s="252">
        <v>0</v>
      </c>
      <c r="BW12" s="252">
        <v>0</v>
      </c>
      <c r="BX12" s="252">
        <v>0</v>
      </c>
      <c r="BY12" s="252">
        <v>0</v>
      </c>
      <c r="BZ12" s="252">
        <v>0</v>
      </c>
      <c r="CA12" s="252">
        <v>0</v>
      </c>
      <c r="CB12" s="252">
        <v>0</v>
      </c>
      <c r="CC12" s="252">
        <v>0</v>
      </c>
      <c r="CD12" s="252">
        <v>0</v>
      </c>
      <c r="CE12" s="252">
        <v>0</v>
      </c>
      <c r="CF12" s="252">
        <v>0</v>
      </c>
      <c r="CG12" s="252">
        <v>0</v>
      </c>
      <c r="CH12" s="252">
        <v>0</v>
      </c>
      <c r="CI12" s="252">
        <v>0</v>
      </c>
      <c r="CJ12" s="252">
        <v>0</v>
      </c>
      <c r="CK12" s="252">
        <v>0</v>
      </c>
      <c r="CL12" s="252">
        <v>0</v>
      </c>
      <c r="CM12" s="252">
        <v>799419.61604868597</v>
      </c>
      <c r="CN12" s="252">
        <v>0</v>
      </c>
      <c r="CO12" s="252">
        <v>0</v>
      </c>
      <c r="CP12" s="252">
        <v>0</v>
      </c>
      <c r="CQ12" s="252">
        <v>0</v>
      </c>
      <c r="CR12" s="252">
        <v>0</v>
      </c>
      <c r="CS12" s="252">
        <v>0</v>
      </c>
      <c r="CT12" s="252">
        <v>0</v>
      </c>
      <c r="CU12" s="252">
        <v>0</v>
      </c>
      <c r="CV12" s="252">
        <v>0</v>
      </c>
      <c r="CW12" s="252">
        <v>0</v>
      </c>
      <c r="CX12" s="252">
        <v>0</v>
      </c>
      <c r="CY12" s="252">
        <v>0</v>
      </c>
      <c r="CZ12" s="252">
        <v>0</v>
      </c>
      <c r="DA12" s="252">
        <v>0</v>
      </c>
      <c r="DB12" s="252">
        <v>0</v>
      </c>
      <c r="DC12" s="252">
        <v>0</v>
      </c>
      <c r="DD12" s="252">
        <v>0</v>
      </c>
      <c r="DE12" s="252">
        <v>0</v>
      </c>
      <c r="DF12" s="252">
        <v>0</v>
      </c>
      <c r="DG12" s="252">
        <v>0</v>
      </c>
      <c r="DH12" s="252">
        <v>0</v>
      </c>
      <c r="DI12" s="252">
        <v>0</v>
      </c>
      <c r="DJ12" s="252">
        <v>0</v>
      </c>
      <c r="DK12" s="252">
        <v>0</v>
      </c>
      <c r="DL12" s="252">
        <v>0</v>
      </c>
      <c r="DM12" s="252">
        <v>0</v>
      </c>
      <c r="DN12" s="252">
        <v>0</v>
      </c>
      <c r="DO12" s="252">
        <v>0</v>
      </c>
      <c r="DP12" s="252">
        <v>0</v>
      </c>
      <c r="DQ12" s="252">
        <v>0</v>
      </c>
      <c r="DR12" s="252">
        <v>0</v>
      </c>
      <c r="DS12" s="252">
        <v>0</v>
      </c>
      <c r="DT12" s="252">
        <v>0</v>
      </c>
      <c r="DU12" s="252">
        <v>0</v>
      </c>
      <c r="DV12" s="252">
        <v>0</v>
      </c>
      <c r="DW12" s="252">
        <v>0</v>
      </c>
      <c r="DX12" s="252">
        <v>0</v>
      </c>
      <c r="DY12" s="252">
        <v>0</v>
      </c>
      <c r="DZ12" s="252">
        <v>0</v>
      </c>
      <c r="EG12" s="252" t="str">
        <f>VLOOKUP(B12,'2022. tervsor'!C:D,2,0)</f>
        <v>Felmentési bér teljesítése</v>
      </c>
    </row>
    <row r="13" spans="1:138" x14ac:dyDescent="0.3">
      <c r="B13" s="435">
        <v>60</v>
      </c>
      <c r="C13" s="252">
        <v>0</v>
      </c>
      <c r="D13" s="252">
        <v>0</v>
      </c>
      <c r="E13" s="252">
        <v>0</v>
      </c>
      <c r="F13" s="252">
        <v>0</v>
      </c>
      <c r="G13" s="252">
        <v>245622.83845558853</v>
      </c>
      <c r="H13" s="252">
        <v>41341.36046528718</v>
      </c>
      <c r="I13" s="252">
        <v>9.75</v>
      </c>
      <c r="J13" s="252">
        <v>33.54</v>
      </c>
      <c r="K13" s="252">
        <v>2233.4817540069921</v>
      </c>
      <c r="L13" s="252">
        <v>6112.5410059550468</v>
      </c>
      <c r="M13" s="252">
        <v>696210.2770876463</v>
      </c>
      <c r="N13" s="252">
        <v>0</v>
      </c>
      <c r="O13" s="252">
        <v>10599.99822120619</v>
      </c>
      <c r="P13" s="252">
        <v>1038.5872842046238</v>
      </c>
      <c r="Q13" s="252">
        <v>396971.14115129993</v>
      </c>
      <c r="R13" s="252">
        <v>0</v>
      </c>
      <c r="S13" s="252">
        <v>0</v>
      </c>
      <c r="T13" s="252">
        <v>418682.86468280916</v>
      </c>
      <c r="U13" s="252">
        <v>3968054.0215045749</v>
      </c>
      <c r="V13" s="252">
        <v>0</v>
      </c>
      <c r="W13" s="252">
        <v>1717031.6799459863</v>
      </c>
      <c r="X13" s="252">
        <v>1070950.4032796486</v>
      </c>
      <c r="Y13" s="252">
        <v>12964.538100758908</v>
      </c>
      <c r="Z13" s="252">
        <v>11584.505953922897</v>
      </c>
      <c r="AA13" s="252">
        <v>3928.0534000289499</v>
      </c>
      <c r="AB13" s="252">
        <v>0</v>
      </c>
      <c r="AC13" s="252">
        <v>9413.1896124352934</v>
      </c>
      <c r="AD13" s="252">
        <v>0</v>
      </c>
      <c r="AE13" s="252">
        <v>0</v>
      </c>
      <c r="AF13" s="252">
        <v>0</v>
      </c>
      <c r="AG13" s="252">
        <v>0</v>
      </c>
      <c r="AH13" s="252">
        <v>0</v>
      </c>
      <c r="AI13" s="252">
        <v>0</v>
      </c>
      <c r="AJ13" s="252">
        <v>0</v>
      </c>
      <c r="AK13" s="252">
        <v>0</v>
      </c>
      <c r="AL13" s="252">
        <v>3264832.3759110966</v>
      </c>
      <c r="AM13" s="252">
        <v>554911.35816153849</v>
      </c>
      <c r="AN13" s="252">
        <v>493278.13519291457</v>
      </c>
      <c r="AO13" s="252">
        <v>0</v>
      </c>
      <c r="AP13" s="252">
        <v>0</v>
      </c>
      <c r="AQ13" s="252">
        <v>240952.52892402455</v>
      </c>
      <c r="AR13" s="252">
        <v>2149020.2605903647</v>
      </c>
      <c r="AS13" s="252">
        <v>471851.07030224649</v>
      </c>
      <c r="AT13" s="252">
        <v>620927.48514263215</v>
      </c>
      <c r="AU13" s="252">
        <v>935143.77695582039</v>
      </c>
      <c r="AV13" s="252">
        <v>0</v>
      </c>
      <c r="AW13" s="252">
        <v>1867977.7046712341</v>
      </c>
      <c r="AX13" s="252">
        <v>300997.58260824118</v>
      </c>
      <c r="AY13" s="252">
        <v>218322.96310774636</v>
      </c>
      <c r="AZ13" s="252">
        <v>0</v>
      </c>
      <c r="BA13" s="252">
        <v>0</v>
      </c>
      <c r="BB13" s="252">
        <v>0</v>
      </c>
      <c r="BC13" s="252">
        <v>0</v>
      </c>
      <c r="BD13" s="252">
        <v>0</v>
      </c>
      <c r="BE13" s="252">
        <v>0</v>
      </c>
      <c r="BF13" s="252">
        <v>0</v>
      </c>
      <c r="BG13" s="252">
        <v>0</v>
      </c>
      <c r="BH13" s="252">
        <v>0</v>
      </c>
      <c r="BI13" s="252">
        <v>206540.38366358998</v>
      </c>
      <c r="BJ13" s="252">
        <v>806.53041535632519</v>
      </c>
      <c r="BK13" s="252">
        <v>0</v>
      </c>
      <c r="BL13" s="252">
        <v>397820.29043104337</v>
      </c>
      <c r="BM13" s="252">
        <v>0</v>
      </c>
      <c r="BN13" s="252">
        <v>636234.36219686328</v>
      </c>
      <c r="BO13" s="252">
        <v>8683.7503717561267</v>
      </c>
      <c r="BP13" s="252">
        <v>47105.318614718613</v>
      </c>
      <c r="BQ13" s="252">
        <v>419005.98778069817</v>
      </c>
      <c r="BR13" s="252">
        <v>0</v>
      </c>
      <c r="BS13" s="252">
        <v>255689.95909060576</v>
      </c>
      <c r="BT13" s="252">
        <v>0</v>
      </c>
      <c r="BU13" s="252">
        <v>539972.31416041765</v>
      </c>
      <c r="BV13" s="252">
        <v>431675.99297916528</v>
      </c>
      <c r="BW13" s="252">
        <v>429427.99728007289</v>
      </c>
      <c r="BX13" s="252">
        <v>467301.46313103678</v>
      </c>
      <c r="BY13" s="252">
        <v>477371.88500000007</v>
      </c>
      <c r="BZ13" s="252">
        <v>0</v>
      </c>
      <c r="CA13" s="252">
        <v>0</v>
      </c>
      <c r="CB13" s="252">
        <v>0</v>
      </c>
      <c r="CC13" s="252">
        <v>0</v>
      </c>
      <c r="CD13" s="252">
        <v>75363.727874902019</v>
      </c>
      <c r="CE13" s="252">
        <v>0</v>
      </c>
      <c r="CF13" s="252">
        <v>0</v>
      </c>
      <c r="CG13" s="252">
        <v>0</v>
      </c>
      <c r="CH13" s="252">
        <v>0</v>
      </c>
      <c r="CI13" s="252">
        <v>0</v>
      </c>
      <c r="CJ13" s="252">
        <v>0</v>
      </c>
      <c r="CK13" s="252">
        <v>75857.86</v>
      </c>
      <c r="CL13" s="252">
        <v>0</v>
      </c>
      <c r="CM13" s="252">
        <v>822685.71316909813</v>
      </c>
      <c r="CN13" s="252">
        <v>43645.166686774413</v>
      </c>
      <c r="CO13" s="252">
        <v>109028.09920686424</v>
      </c>
      <c r="CP13" s="252">
        <v>381615.92200474394</v>
      </c>
      <c r="CQ13" s="252">
        <v>33426.193262604407</v>
      </c>
      <c r="CR13" s="252">
        <v>192782.31053916886</v>
      </c>
      <c r="CS13" s="252">
        <v>171853.59485215505</v>
      </c>
      <c r="CT13" s="252">
        <v>95698.218653488118</v>
      </c>
      <c r="CU13" s="252">
        <v>40973.932132976559</v>
      </c>
      <c r="CV13" s="252">
        <v>53749.956761681337</v>
      </c>
      <c r="CW13" s="252">
        <v>549558.75021333445</v>
      </c>
      <c r="CX13" s="252">
        <v>5319700.9528794261</v>
      </c>
      <c r="CY13" s="252">
        <v>153150.55207949944</v>
      </c>
      <c r="CZ13" s="252">
        <v>0</v>
      </c>
      <c r="DA13" s="252">
        <v>0</v>
      </c>
      <c r="DB13" s="252">
        <v>0</v>
      </c>
      <c r="DC13" s="252">
        <v>0</v>
      </c>
      <c r="DD13" s="252">
        <v>0</v>
      </c>
      <c r="DE13" s="252">
        <v>0</v>
      </c>
      <c r="DF13" s="252">
        <v>0</v>
      </c>
      <c r="DG13" s="252">
        <v>0</v>
      </c>
      <c r="DH13" s="252">
        <v>136310.42961696937</v>
      </c>
      <c r="DI13" s="252">
        <v>134170.33466670255</v>
      </c>
      <c r="DJ13" s="252">
        <v>868780.75028513453</v>
      </c>
      <c r="DK13" s="252">
        <v>1409.9497835497868</v>
      </c>
      <c r="DL13" s="252">
        <v>295475.14295442461</v>
      </c>
      <c r="DM13" s="252">
        <v>184398.39152315885</v>
      </c>
      <c r="DN13" s="252">
        <v>81648.658592678927</v>
      </c>
      <c r="DO13" s="252">
        <v>15353.1270995671</v>
      </c>
      <c r="DP13" s="252">
        <v>58604.667635616082</v>
      </c>
      <c r="DQ13" s="252">
        <v>11500.858419913418</v>
      </c>
      <c r="DR13" s="252">
        <v>390600</v>
      </c>
      <c r="DS13" s="252">
        <v>114710.19913419914</v>
      </c>
      <c r="DT13" s="252">
        <v>0</v>
      </c>
      <c r="DU13" s="252">
        <v>1881067.3674602529</v>
      </c>
      <c r="DV13" s="252">
        <v>1304979.7951643264</v>
      </c>
      <c r="DW13" s="252">
        <v>2207952.2082240395</v>
      </c>
      <c r="DX13" s="252">
        <v>0</v>
      </c>
      <c r="DY13" s="252">
        <v>0</v>
      </c>
      <c r="DZ13" s="252">
        <v>0</v>
      </c>
      <c r="EG13" s="252" t="str">
        <f>VLOOKUP(B13,'2022. tervsor'!C:D,2,0)</f>
        <v>SZOCHÓ (13%)</v>
      </c>
    </row>
    <row r="14" spans="1:138" x14ac:dyDescent="0.3">
      <c r="B14" s="435">
        <v>65</v>
      </c>
      <c r="C14" s="252">
        <v>0</v>
      </c>
      <c r="D14" s="252">
        <v>0</v>
      </c>
      <c r="E14" s="252">
        <v>0</v>
      </c>
      <c r="F14" s="252">
        <v>0</v>
      </c>
      <c r="G14" s="252">
        <v>0</v>
      </c>
      <c r="H14" s="252">
        <v>0</v>
      </c>
      <c r="I14" s="252">
        <v>0</v>
      </c>
      <c r="J14" s="252">
        <v>0</v>
      </c>
      <c r="K14" s="252">
        <v>0</v>
      </c>
      <c r="L14" s="252">
        <v>0</v>
      </c>
      <c r="M14" s="252">
        <v>91235.576722137906</v>
      </c>
      <c r="N14" s="252">
        <v>0</v>
      </c>
      <c r="O14" s="252">
        <v>0</v>
      </c>
      <c r="P14" s="252">
        <v>0</v>
      </c>
      <c r="Q14" s="252">
        <v>100488.34247987733</v>
      </c>
      <c r="R14" s="252">
        <v>0</v>
      </c>
      <c r="S14" s="252">
        <v>0</v>
      </c>
      <c r="T14" s="252">
        <v>77744.574021303881</v>
      </c>
      <c r="U14" s="252">
        <v>845198.35954753705</v>
      </c>
      <c r="V14" s="252">
        <v>0</v>
      </c>
      <c r="W14" s="252">
        <v>364593.13902339269</v>
      </c>
      <c r="X14" s="252">
        <v>155887.91415686533</v>
      </c>
      <c r="Y14" s="252">
        <v>0</v>
      </c>
      <c r="Z14" s="252">
        <v>0</v>
      </c>
      <c r="AA14" s="252">
        <v>0</v>
      </c>
      <c r="AB14" s="252">
        <v>0</v>
      </c>
      <c r="AC14" s="252">
        <v>0</v>
      </c>
      <c r="AD14" s="252">
        <v>0</v>
      </c>
      <c r="AE14" s="252">
        <v>0</v>
      </c>
      <c r="AF14" s="252">
        <v>0</v>
      </c>
      <c r="AG14" s="252">
        <v>0</v>
      </c>
      <c r="AH14" s="252">
        <v>0</v>
      </c>
      <c r="AI14" s="252">
        <v>0</v>
      </c>
      <c r="AJ14" s="252">
        <v>0</v>
      </c>
      <c r="AK14" s="252">
        <v>0</v>
      </c>
      <c r="AL14" s="252">
        <v>558855.69777084619</v>
      </c>
      <c r="AM14" s="252">
        <v>90582.756153047463</v>
      </c>
      <c r="AN14" s="252">
        <v>0</v>
      </c>
      <c r="AO14" s="252">
        <v>0</v>
      </c>
      <c r="AP14" s="252">
        <v>0</v>
      </c>
      <c r="AQ14" s="252">
        <v>0</v>
      </c>
      <c r="AR14" s="252">
        <v>414984.19899213442</v>
      </c>
      <c r="AS14" s="252">
        <v>87379.758613158672</v>
      </c>
      <c r="AT14" s="252">
        <v>90248.99132929038</v>
      </c>
      <c r="AU14" s="252">
        <v>195269.39054012438</v>
      </c>
      <c r="AV14" s="252">
        <v>0</v>
      </c>
      <c r="AW14" s="252">
        <v>229127.95461452994</v>
      </c>
      <c r="AX14" s="252">
        <v>0</v>
      </c>
      <c r="AY14" s="252">
        <v>0</v>
      </c>
      <c r="AZ14" s="252">
        <v>0</v>
      </c>
      <c r="BA14" s="252">
        <v>0</v>
      </c>
      <c r="BB14" s="252">
        <v>0</v>
      </c>
      <c r="BC14" s="252">
        <v>0</v>
      </c>
      <c r="BD14" s="252">
        <v>0</v>
      </c>
      <c r="BE14" s="252">
        <v>0</v>
      </c>
      <c r="BF14" s="252">
        <v>0</v>
      </c>
      <c r="BG14" s="252">
        <v>0</v>
      </c>
      <c r="BH14" s="252">
        <v>0</v>
      </c>
      <c r="BI14" s="252">
        <v>0</v>
      </c>
      <c r="BJ14" s="252">
        <v>0</v>
      </c>
      <c r="BK14" s="252">
        <v>0</v>
      </c>
      <c r="BL14" s="252">
        <v>86105.926168123988</v>
      </c>
      <c r="BM14" s="252">
        <v>0</v>
      </c>
      <c r="BN14" s="252">
        <v>86035.490236251542</v>
      </c>
      <c r="BO14" s="252">
        <v>1174.2696790905165</v>
      </c>
      <c r="BP14" s="252">
        <v>0</v>
      </c>
      <c r="BQ14" s="252">
        <v>82412.623598347796</v>
      </c>
      <c r="BR14" s="252">
        <v>0</v>
      </c>
      <c r="BS14" s="252">
        <v>0</v>
      </c>
      <c r="BT14" s="252">
        <v>0</v>
      </c>
      <c r="BU14" s="252">
        <v>73032.626924252079</v>
      </c>
      <c r="BV14" s="252">
        <v>90206.28505300422</v>
      </c>
      <c r="BW14" s="252">
        <v>85463.620928488599</v>
      </c>
      <c r="BX14" s="252">
        <v>86419.612832004117</v>
      </c>
      <c r="BY14" s="252">
        <v>90000.000000000015</v>
      </c>
      <c r="BZ14" s="252">
        <v>0</v>
      </c>
      <c r="CA14" s="252">
        <v>0</v>
      </c>
      <c r="CB14" s="252">
        <v>0</v>
      </c>
      <c r="CC14" s="252">
        <v>0</v>
      </c>
      <c r="CD14" s="252">
        <v>16259.318675239307</v>
      </c>
      <c r="CE14" s="252">
        <v>0</v>
      </c>
      <c r="CF14" s="252">
        <v>0</v>
      </c>
      <c r="CG14" s="252">
        <v>0</v>
      </c>
      <c r="CH14" s="252">
        <v>0</v>
      </c>
      <c r="CI14" s="252">
        <v>0</v>
      </c>
      <c r="CJ14" s="252">
        <v>0</v>
      </c>
      <c r="CK14" s="252">
        <v>0</v>
      </c>
      <c r="CL14" s="252">
        <v>0</v>
      </c>
      <c r="CM14" s="252">
        <v>97598.375224004034</v>
      </c>
      <c r="CN14" s="252">
        <v>0</v>
      </c>
      <c r="CO14" s="252">
        <v>0</v>
      </c>
      <c r="CP14" s="252">
        <v>91781.826033735633</v>
      </c>
      <c r="CQ14" s="252">
        <v>0</v>
      </c>
      <c r="CR14" s="252">
        <v>0</v>
      </c>
      <c r="CS14" s="252">
        <v>0</v>
      </c>
      <c r="CT14" s="252">
        <v>0</v>
      </c>
      <c r="CU14" s="252">
        <v>0</v>
      </c>
      <c r="CV14" s="252">
        <v>0</v>
      </c>
      <c r="CW14" s="252">
        <v>88669.195108984888</v>
      </c>
      <c r="CX14" s="252">
        <v>925724.42872638779</v>
      </c>
      <c r="CY14" s="252">
        <v>0</v>
      </c>
      <c r="CZ14" s="252">
        <v>0</v>
      </c>
      <c r="DA14" s="252">
        <v>0</v>
      </c>
      <c r="DB14" s="252">
        <v>0</v>
      </c>
      <c r="DC14" s="252">
        <v>0</v>
      </c>
      <c r="DD14" s="252">
        <v>0</v>
      </c>
      <c r="DE14" s="252">
        <v>0</v>
      </c>
      <c r="DF14" s="252">
        <v>0</v>
      </c>
      <c r="DG14" s="252">
        <v>0</v>
      </c>
      <c r="DH14" s="252">
        <v>0</v>
      </c>
      <c r="DI14" s="252">
        <v>0</v>
      </c>
      <c r="DJ14" s="252">
        <v>128508.51687431462</v>
      </c>
      <c r="DK14" s="252">
        <v>0</v>
      </c>
      <c r="DL14" s="252">
        <v>0</v>
      </c>
      <c r="DM14" s="252">
        <v>0</v>
      </c>
      <c r="DN14" s="252">
        <v>0</v>
      </c>
      <c r="DO14" s="252">
        <v>0</v>
      </c>
      <c r="DP14" s="252">
        <v>0</v>
      </c>
      <c r="DQ14" s="252">
        <v>0</v>
      </c>
      <c r="DR14" s="252">
        <v>0</v>
      </c>
      <c r="DS14" s="252">
        <v>0</v>
      </c>
      <c r="DT14" s="252">
        <v>0</v>
      </c>
      <c r="DU14" s="252">
        <v>397419.06356919138</v>
      </c>
      <c r="DV14" s="252">
        <v>0</v>
      </c>
      <c r="DW14" s="252">
        <v>0</v>
      </c>
      <c r="DX14" s="252">
        <v>0</v>
      </c>
      <c r="DY14" s="252">
        <v>0</v>
      </c>
      <c r="DZ14" s="252">
        <v>0</v>
      </c>
      <c r="EG14" s="252" t="str">
        <f>VLOOKUP(B14,'2022. tervsor'!C:D,2,0)</f>
        <v>Rehabilitációs hozzájárulás</v>
      </c>
    </row>
    <row r="15" spans="1:138" x14ac:dyDescent="0.3">
      <c r="B15" s="435">
        <v>68</v>
      </c>
      <c r="C15" s="252">
        <v>0</v>
      </c>
      <c r="D15" s="252">
        <v>0</v>
      </c>
      <c r="E15" s="252">
        <v>0</v>
      </c>
      <c r="F15" s="252">
        <v>0</v>
      </c>
      <c r="G15" s="252">
        <v>0</v>
      </c>
      <c r="H15" s="252">
        <v>0</v>
      </c>
      <c r="I15" s="252">
        <v>0</v>
      </c>
      <c r="J15" s="252">
        <v>0</v>
      </c>
      <c r="K15" s="252">
        <v>0</v>
      </c>
      <c r="L15" s="252">
        <v>0</v>
      </c>
      <c r="M15" s="252">
        <v>0</v>
      </c>
      <c r="N15" s="252">
        <v>0</v>
      </c>
      <c r="O15" s="252">
        <v>0</v>
      </c>
      <c r="P15" s="252">
        <v>0</v>
      </c>
      <c r="Q15" s="252">
        <v>0</v>
      </c>
      <c r="R15" s="252">
        <v>0</v>
      </c>
      <c r="S15" s="252">
        <v>0</v>
      </c>
      <c r="T15" s="252">
        <v>0</v>
      </c>
      <c r="U15" s="252">
        <v>0</v>
      </c>
      <c r="V15" s="252">
        <v>0</v>
      </c>
      <c r="W15" s="252">
        <v>0</v>
      </c>
      <c r="X15" s="252">
        <v>0</v>
      </c>
      <c r="Y15" s="252">
        <v>0</v>
      </c>
      <c r="Z15" s="252">
        <v>0</v>
      </c>
      <c r="AA15" s="252">
        <v>0</v>
      </c>
      <c r="AB15" s="252">
        <v>0</v>
      </c>
      <c r="AC15" s="252">
        <v>0</v>
      </c>
      <c r="AD15" s="252">
        <v>0</v>
      </c>
      <c r="AE15" s="252">
        <v>0</v>
      </c>
      <c r="AF15" s="252">
        <v>0</v>
      </c>
      <c r="AG15" s="252">
        <v>0</v>
      </c>
      <c r="AH15" s="252">
        <v>0</v>
      </c>
      <c r="AI15" s="252">
        <v>0</v>
      </c>
      <c r="AJ15" s="252">
        <v>0</v>
      </c>
      <c r="AK15" s="252">
        <v>0</v>
      </c>
      <c r="AL15" s="252">
        <v>0</v>
      </c>
      <c r="AM15" s="252">
        <v>0</v>
      </c>
      <c r="AN15" s="252">
        <v>0</v>
      </c>
      <c r="AO15" s="252">
        <v>0</v>
      </c>
      <c r="AP15" s="252">
        <v>0</v>
      </c>
      <c r="AQ15" s="252">
        <v>0</v>
      </c>
      <c r="AR15" s="252">
        <v>0</v>
      </c>
      <c r="AS15" s="252">
        <v>0</v>
      </c>
      <c r="AT15" s="252">
        <v>0</v>
      </c>
      <c r="AU15" s="252">
        <v>0</v>
      </c>
      <c r="AV15" s="252">
        <v>0</v>
      </c>
      <c r="AW15" s="252">
        <v>0</v>
      </c>
      <c r="AX15" s="252">
        <v>0</v>
      </c>
      <c r="AY15" s="252">
        <v>0</v>
      </c>
      <c r="AZ15" s="252">
        <v>0</v>
      </c>
      <c r="BA15" s="252">
        <v>0</v>
      </c>
      <c r="BB15" s="252">
        <v>0</v>
      </c>
      <c r="BC15" s="252">
        <v>0</v>
      </c>
      <c r="BD15" s="252">
        <v>0</v>
      </c>
      <c r="BE15" s="252">
        <v>0</v>
      </c>
      <c r="BF15" s="252">
        <v>0</v>
      </c>
      <c r="BG15" s="252">
        <v>0</v>
      </c>
      <c r="BH15" s="252">
        <v>0</v>
      </c>
      <c r="BI15" s="252">
        <v>0</v>
      </c>
      <c r="BJ15" s="252">
        <v>0</v>
      </c>
      <c r="BK15" s="252">
        <v>0</v>
      </c>
      <c r="BL15" s="252">
        <v>0</v>
      </c>
      <c r="BM15" s="252">
        <v>0</v>
      </c>
      <c r="BN15" s="252">
        <v>0</v>
      </c>
      <c r="BO15" s="252">
        <v>0</v>
      </c>
      <c r="BP15" s="252">
        <v>0</v>
      </c>
      <c r="BQ15" s="252">
        <v>0</v>
      </c>
      <c r="BR15" s="252">
        <v>0</v>
      </c>
      <c r="BS15" s="252">
        <v>0</v>
      </c>
      <c r="BT15" s="252">
        <v>0</v>
      </c>
      <c r="BU15" s="252">
        <v>0</v>
      </c>
      <c r="BV15" s="252">
        <v>0</v>
      </c>
      <c r="BW15" s="252">
        <v>0</v>
      </c>
      <c r="BX15" s="252">
        <v>0</v>
      </c>
      <c r="BY15" s="252">
        <v>0</v>
      </c>
      <c r="BZ15" s="252">
        <v>0</v>
      </c>
      <c r="CA15" s="252">
        <v>0</v>
      </c>
      <c r="CB15" s="252">
        <v>0</v>
      </c>
      <c r="CC15" s="252">
        <v>0</v>
      </c>
      <c r="CD15" s="252">
        <v>0</v>
      </c>
      <c r="CE15" s="252">
        <v>0</v>
      </c>
      <c r="CF15" s="252">
        <v>0</v>
      </c>
      <c r="CG15" s="252">
        <v>0</v>
      </c>
      <c r="CH15" s="252">
        <v>0</v>
      </c>
      <c r="CI15" s="252">
        <v>0</v>
      </c>
      <c r="CJ15" s="252">
        <v>0</v>
      </c>
      <c r="CK15" s="252">
        <v>0</v>
      </c>
      <c r="CL15" s="252">
        <v>0</v>
      </c>
      <c r="CM15" s="252">
        <v>0</v>
      </c>
      <c r="CN15" s="252">
        <v>0</v>
      </c>
      <c r="CO15" s="252">
        <v>0</v>
      </c>
      <c r="CP15" s="252">
        <v>0</v>
      </c>
      <c r="CQ15" s="252">
        <v>0</v>
      </c>
      <c r="CR15" s="252">
        <v>0</v>
      </c>
      <c r="CS15" s="252">
        <v>0</v>
      </c>
      <c r="CT15" s="252">
        <v>0</v>
      </c>
      <c r="CU15" s="252">
        <v>0</v>
      </c>
      <c r="CV15" s="252">
        <v>0</v>
      </c>
      <c r="CW15" s="252">
        <v>0</v>
      </c>
      <c r="CX15" s="252">
        <v>0</v>
      </c>
      <c r="CY15" s="252">
        <v>0</v>
      </c>
      <c r="CZ15" s="252">
        <v>0</v>
      </c>
      <c r="DA15" s="252">
        <v>0</v>
      </c>
      <c r="DB15" s="252">
        <v>0</v>
      </c>
      <c r="DC15" s="252">
        <v>0</v>
      </c>
      <c r="DD15" s="252">
        <v>0</v>
      </c>
      <c r="DE15" s="252">
        <v>0</v>
      </c>
      <c r="DF15" s="252">
        <v>0</v>
      </c>
      <c r="DG15" s="252">
        <v>0</v>
      </c>
      <c r="DH15" s="252">
        <v>45191.071056154513</v>
      </c>
      <c r="DI15" s="252">
        <v>17684.393939554779</v>
      </c>
      <c r="DJ15" s="252">
        <v>187082.62518465673</v>
      </c>
      <c r="DK15" s="252">
        <v>0</v>
      </c>
      <c r="DL15" s="252">
        <v>127510.07874305165</v>
      </c>
      <c r="DM15" s="252">
        <v>61720.862676349854</v>
      </c>
      <c r="DN15" s="252">
        <v>15731.459940195586</v>
      </c>
      <c r="DO15" s="252">
        <v>1609.9436010233028</v>
      </c>
      <c r="DP15" s="252">
        <v>3414.8774569116267</v>
      </c>
      <c r="DQ15" s="252">
        <v>1197.8851545465618</v>
      </c>
      <c r="DR15" s="252">
        <v>192525.9038950851</v>
      </c>
      <c r="DS15" s="252">
        <v>8068.1807312099927</v>
      </c>
      <c r="DT15" s="252">
        <v>0</v>
      </c>
      <c r="DU15" s="252">
        <v>0</v>
      </c>
      <c r="DV15" s="252">
        <v>0</v>
      </c>
      <c r="DW15" s="252">
        <v>0</v>
      </c>
      <c r="DX15" s="252">
        <v>140101.24447117353</v>
      </c>
      <c r="DY15" s="252">
        <v>172555.95571373482</v>
      </c>
      <c r="DZ15" s="252">
        <v>85704.761956525734</v>
      </c>
      <c r="EG15" s="252" t="str">
        <f>VLOOKUP(B15,'2022. tervsor'!C:D,2,0)</f>
        <v>Vegyszerbeszerzés</v>
      </c>
    </row>
    <row r="16" spans="1:138" x14ac:dyDescent="0.3">
      <c r="B16" s="435">
        <v>69</v>
      </c>
      <c r="C16" s="252">
        <v>78740.157480314971</v>
      </c>
      <c r="D16" s="252">
        <v>760021.63372808811</v>
      </c>
      <c r="E16" s="252">
        <v>61027.947392943119</v>
      </c>
      <c r="F16" s="252">
        <v>24334.833705696376</v>
      </c>
      <c r="G16" s="252">
        <v>0</v>
      </c>
      <c r="H16" s="252">
        <v>0</v>
      </c>
      <c r="I16" s="252">
        <v>0</v>
      </c>
      <c r="J16" s="252">
        <v>0</v>
      </c>
      <c r="K16" s="252">
        <v>0</v>
      </c>
      <c r="L16" s="252">
        <v>0</v>
      </c>
      <c r="M16" s="252">
        <v>0</v>
      </c>
      <c r="N16" s="252">
        <v>43559.021364008673</v>
      </c>
      <c r="O16" s="252">
        <v>611.64999416519186</v>
      </c>
      <c r="P16" s="252">
        <v>3355.6702269966372</v>
      </c>
      <c r="Q16" s="252">
        <v>137478.4573909872</v>
      </c>
      <c r="R16" s="252">
        <v>0</v>
      </c>
      <c r="S16" s="252">
        <v>0</v>
      </c>
      <c r="T16" s="252">
        <v>0</v>
      </c>
      <c r="U16" s="252">
        <v>0</v>
      </c>
      <c r="V16" s="252">
        <v>0</v>
      </c>
      <c r="W16" s="252">
        <v>0</v>
      </c>
      <c r="X16" s="252">
        <v>725073.71789610002</v>
      </c>
      <c r="Y16" s="252">
        <v>4657.3270560590381</v>
      </c>
      <c r="Z16" s="252">
        <v>4270.1289067859243</v>
      </c>
      <c r="AA16" s="252">
        <v>17135.031609928228</v>
      </c>
      <c r="AB16" s="252">
        <v>0</v>
      </c>
      <c r="AC16" s="252">
        <v>2557.5797186457598</v>
      </c>
      <c r="AD16" s="252">
        <v>0</v>
      </c>
      <c r="AE16" s="252">
        <v>0</v>
      </c>
      <c r="AF16" s="252">
        <v>0</v>
      </c>
      <c r="AG16" s="252">
        <v>0</v>
      </c>
      <c r="AH16" s="252">
        <v>0</v>
      </c>
      <c r="AI16" s="252">
        <v>0</v>
      </c>
      <c r="AJ16" s="252">
        <v>0</v>
      </c>
      <c r="AK16" s="252">
        <v>0</v>
      </c>
      <c r="AL16" s="252">
        <v>0</v>
      </c>
      <c r="AM16" s="252">
        <v>0</v>
      </c>
      <c r="AN16" s="252">
        <v>0</v>
      </c>
      <c r="AO16" s="252">
        <v>0</v>
      </c>
      <c r="AP16" s="252">
        <v>0</v>
      </c>
      <c r="AQ16" s="252">
        <v>0</v>
      </c>
      <c r="AR16" s="252">
        <v>0</v>
      </c>
      <c r="AS16" s="252">
        <v>0</v>
      </c>
      <c r="AT16" s="252">
        <v>0</v>
      </c>
      <c r="AU16" s="252">
        <v>0</v>
      </c>
      <c r="AV16" s="252">
        <v>53669.631913713769</v>
      </c>
      <c r="AW16" s="252">
        <v>1085485.3179120519</v>
      </c>
      <c r="AX16" s="252">
        <v>229499.41774307305</v>
      </c>
      <c r="AY16" s="252">
        <v>85967.118550821353</v>
      </c>
      <c r="AZ16" s="252">
        <v>15593.882779604595</v>
      </c>
      <c r="BA16" s="252">
        <v>0</v>
      </c>
      <c r="BB16" s="252">
        <v>0</v>
      </c>
      <c r="BC16" s="252">
        <v>0</v>
      </c>
      <c r="BD16" s="252">
        <v>0</v>
      </c>
      <c r="BE16" s="252">
        <v>0</v>
      </c>
      <c r="BF16" s="252">
        <v>0</v>
      </c>
      <c r="BG16" s="252">
        <v>0</v>
      </c>
      <c r="BH16" s="252">
        <v>0</v>
      </c>
      <c r="BI16" s="252">
        <v>0</v>
      </c>
      <c r="BJ16" s="252">
        <v>1854.4604361050197</v>
      </c>
      <c r="BK16" s="252">
        <v>39192.325317404757</v>
      </c>
      <c r="BL16" s="252">
        <v>31172.750437159903</v>
      </c>
      <c r="BM16" s="252">
        <v>1432.0101275189211</v>
      </c>
      <c r="BN16" s="252">
        <v>0</v>
      </c>
      <c r="BO16" s="252">
        <v>0</v>
      </c>
      <c r="BP16" s="252">
        <v>0</v>
      </c>
      <c r="BQ16" s="252">
        <v>0</v>
      </c>
      <c r="BR16" s="252">
        <v>0</v>
      </c>
      <c r="BS16" s="252">
        <v>0</v>
      </c>
      <c r="BT16" s="252">
        <v>0</v>
      </c>
      <c r="BU16" s="252">
        <v>1728086.2911928459</v>
      </c>
      <c r="BV16" s="252">
        <v>447155.663080636</v>
      </c>
      <c r="BW16" s="252">
        <v>258462.11867890132</v>
      </c>
      <c r="BX16" s="252">
        <v>255095.69168011544</v>
      </c>
      <c r="BY16" s="252">
        <v>0</v>
      </c>
      <c r="BZ16" s="252">
        <v>402628.20941295911</v>
      </c>
      <c r="CA16" s="252">
        <v>460784.41187836241</v>
      </c>
      <c r="CB16" s="252">
        <v>0</v>
      </c>
      <c r="CC16" s="252">
        <v>0</v>
      </c>
      <c r="CD16" s="252">
        <v>393755.12800576759</v>
      </c>
      <c r="CE16" s="252">
        <v>843630.38531360298</v>
      </c>
      <c r="CF16" s="252">
        <v>28384.90754304154</v>
      </c>
      <c r="CG16" s="252">
        <v>14569.420877502391</v>
      </c>
      <c r="CH16" s="252">
        <v>45609.562871113114</v>
      </c>
      <c r="CI16" s="252">
        <v>0</v>
      </c>
      <c r="CJ16" s="252">
        <v>0</v>
      </c>
      <c r="CK16" s="252">
        <v>0</v>
      </c>
      <c r="CL16" s="252">
        <v>85980.688836429981</v>
      </c>
      <c r="CM16" s="252">
        <v>0</v>
      </c>
      <c r="CN16" s="252">
        <v>0</v>
      </c>
      <c r="CO16" s="252">
        <v>0</v>
      </c>
      <c r="CP16" s="252">
        <v>0</v>
      </c>
      <c r="CQ16" s="252">
        <v>0</v>
      </c>
      <c r="CR16" s="252">
        <v>0</v>
      </c>
      <c r="CS16" s="252">
        <v>0</v>
      </c>
      <c r="CT16" s="252">
        <v>0</v>
      </c>
      <c r="CU16" s="252">
        <v>0</v>
      </c>
      <c r="CV16" s="252">
        <v>0</v>
      </c>
      <c r="CW16" s="252">
        <v>0</v>
      </c>
      <c r="CX16" s="252">
        <v>0</v>
      </c>
      <c r="CY16" s="252">
        <v>0</v>
      </c>
      <c r="CZ16" s="252">
        <v>0</v>
      </c>
      <c r="DA16" s="252">
        <v>4682.0924678382917</v>
      </c>
      <c r="DB16" s="252">
        <v>1243.8422788485341</v>
      </c>
      <c r="DC16" s="252">
        <v>1063.6498946819986</v>
      </c>
      <c r="DD16" s="252">
        <v>57.716580350445348</v>
      </c>
      <c r="DE16" s="252">
        <v>2832.0349532766049</v>
      </c>
      <c r="DF16" s="252">
        <v>2323.4557100115567</v>
      </c>
      <c r="DG16" s="252">
        <v>0</v>
      </c>
      <c r="DH16" s="252">
        <v>0</v>
      </c>
      <c r="DI16" s="252">
        <v>0</v>
      </c>
      <c r="DJ16" s="252">
        <v>0</v>
      </c>
      <c r="DK16" s="252">
        <v>0</v>
      </c>
      <c r="DL16" s="252">
        <v>0</v>
      </c>
      <c r="DM16" s="252">
        <v>0</v>
      </c>
      <c r="DN16" s="252">
        <v>0</v>
      </c>
      <c r="DO16" s="252">
        <v>0</v>
      </c>
      <c r="DP16" s="252">
        <v>0</v>
      </c>
      <c r="DQ16" s="252">
        <v>0</v>
      </c>
      <c r="DR16" s="252">
        <v>0</v>
      </c>
      <c r="DS16" s="252">
        <v>0</v>
      </c>
      <c r="DT16" s="252">
        <v>0</v>
      </c>
      <c r="DU16" s="252">
        <v>0</v>
      </c>
      <c r="DV16" s="252">
        <v>0</v>
      </c>
      <c r="DW16" s="252">
        <v>0</v>
      </c>
      <c r="DX16" s="252">
        <v>0</v>
      </c>
      <c r="DY16" s="252">
        <v>0</v>
      </c>
      <c r="DZ16" s="252">
        <v>0</v>
      </c>
      <c r="EG16" s="252" t="str">
        <f>VLOOKUP(B16,'2022. tervsor'!C:D,2,0)</f>
        <v>Egyéb szakmai anyagbeszerzés</v>
      </c>
    </row>
    <row r="17" spans="1:137" x14ac:dyDescent="0.3">
      <c r="B17" s="435">
        <v>75</v>
      </c>
      <c r="C17" s="252">
        <v>0</v>
      </c>
      <c r="D17" s="252">
        <v>0</v>
      </c>
      <c r="E17" s="252">
        <v>0</v>
      </c>
      <c r="F17" s="252">
        <v>0</v>
      </c>
      <c r="G17" s="252">
        <v>0</v>
      </c>
      <c r="H17" s="252">
        <v>0</v>
      </c>
      <c r="I17" s="252">
        <v>0</v>
      </c>
      <c r="J17" s="252">
        <v>0</v>
      </c>
      <c r="K17" s="252">
        <v>0</v>
      </c>
      <c r="L17" s="252">
        <v>0</v>
      </c>
      <c r="M17" s="252">
        <v>0</v>
      </c>
      <c r="N17" s="252">
        <v>0</v>
      </c>
      <c r="O17" s="252">
        <v>0</v>
      </c>
      <c r="P17" s="252">
        <v>0</v>
      </c>
      <c r="Q17" s="252">
        <v>0</v>
      </c>
      <c r="R17" s="252">
        <v>0</v>
      </c>
      <c r="S17" s="252">
        <v>0</v>
      </c>
      <c r="T17" s="252">
        <v>0</v>
      </c>
      <c r="U17" s="252">
        <v>0</v>
      </c>
      <c r="V17" s="252">
        <v>0</v>
      </c>
      <c r="W17" s="252">
        <v>0</v>
      </c>
      <c r="X17" s="252">
        <v>0</v>
      </c>
      <c r="Y17" s="252">
        <v>0</v>
      </c>
      <c r="Z17" s="252">
        <v>0</v>
      </c>
      <c r="AA17" s="252">
        <v>0</v>
      </c>
      <c r="AB17" s="252">
        <v>0</v>
      </c>
      <c r="AC17" s="252">
        <v>0</v>
      </c>
      <c r="AD17" s="252">
        <v>0</v>
      </c>
      <c r="AE17" s="252">
        <v>0</v>
      </c>
      <c r="AF17" s="252">
        <v>0</v>
      </c>
      <c r="AG17" s="252">
        <v>0</v>
      </c>
      <c r="AH17" s="252">
        <v>0</v>
      </c>
      <c r="AI17" s="252">
        <v>0</v>
      </c>
      <c r="AJ17" s="252">
        <v>0</v>
      </c>
      <c r="AK17" s="252">
        <v>0</v>
      </c>
      <c r="AL17" s="252">
        <v>0</v>
      </c>
      <c r="AM17" s="252">
        <v>0</v>
      </c>
      <c r="AN17" s="252">
        <v>0</v>
      </c>
      <c r="AO17" s="252">
        <v>0</v>
      </c>
      <c r="AP17" s="252">
        <v>0</v>
      </c>
      <c r="AQ17" s="252">
        <v>0</v>
      </c>
      <c r="AR17" s="252">
        <v>0</v>
      </c>
      <c r="AS17" s="252">
        <v>0</v>
      </c>
      <c r="AT17" s="252">
        <v>0</v>
      </c>
      <c r="AU17" s="252">
        <v>0</v>
      </c>
      <c r="AV17" s="252">
        <v>0</v>
      </c>
      <c r="AW17" s="252">
        <v>0</v>
      </c>
      <c r="AX17" s="252">
        <v>0</v>
      </c>
      <c r="AY17" s="252">
        <v>0</v>
      </c>
      <c r="AZ17" s="252">
        <v>0</v>
      </c>
      <c r="BA17" s="252">
        <v>0</v>
      </c>
      <c r="BB17" s="252">
        <v>0</v>
      </c>
      <c r="BC17" s="252">
        <v>0</v>
      </c>
      <c r="BD17" s="252">
        <v>0</v>
      </c>
      <c r="BE17" s="252">
        <v>0</v>
      </c>
      <c r="BF17" s="252">
        <v>0</v>
      </c>
      <c r="BG17" s="252">
        <v>0</v>
      </c>
      <c r="BH17" s="252">
        <v>0</v>
      </c>
      <c r="BI17" s="252">
        <v>0</v>
      </c>
      <c r="BJ17" s="252">
        <v>0</v>
      </c>
      <c r="BK17" s="252">
        <v>0</v>
      </c>
      <c r="BL17" s="252">
        <v>0</v>
      </c>
      <c r="BM17" s="252">
        <v>0</v>
      </c>
      <c r="BN17" s="252">
        <v>0</v>
      </c>
      <c r="BO17" s="252">
        <v>0</v>
      </c>
      <c r="BP17" s="252">
        <v>0</v>
      </c>
      <c r="BQ17" s="252">
        <v>0</v>
      </c>
      <c r="BR17" s="252">
        <v>0</v>
      </c>
      <c r="BS17" s="252">
        <v>0</v>
      </c>
      <c r="BT17" s="252">
        <v>0</v>
      </c>
      <c r="BU17" s="252">
        <v>0</v>
      </c>
      <c r="BV17" s="252">
        <v>0</v>
      </c>
      <c r="BW17" s="252">
        <v>0</v>
      </c>
      <c r="BX17" s="252">
        <v>0</v>
      </c>
      <c r="BY17" s="252">
        <v>0</v>
      </c>
      <c r="BZ17" s="252">
        <v>0</v>
      </c>
      <c r="CA17" s="252">
        <v>0</v>
      </c>
      <c r="CB17" s="252">
        <v>0</v>
      </c>
      <c r="CC17" s="252">
        <v>0</v>
      </c>
      <c r="CD17" s="252">
        <v>0</v>
      </c>
      <c r="CE17" s="252">
        <v>0</v>
      </c>
      <c r="CF17" s="252">
        <v>0</v>
      </c>
      <c r="CG17" s="252">
        <v>0</v>
      </c>
      <c r="CH17" s="252">
        <v>0</v>
      </c>
      <c r="CI17" s="252">
        <v>0</v>
      </c>
      <c r="CJ17" s="252">
        <v>0</v>
      </c>
      <c r="CK17" s="252">
        <v>0</v>
      </c>
      <c r="CL17" s="252">
        <v>59111.723575045617</v>
      </c>
      <c r="CM17" s="252">
        <v>0</v>
      </c>
      <c r="CN17" s="252">
        <v>0</v>
      </c>
      <c r="CO17" s="252">
        <v>0</v>
      </c>
      <c r="CP17" s="252">
        <v>0</v>
      </c>
      <c r="CQ17" s="252">
        <v>0</v>
      </c>
      <c r="CR17" s="252">
        <v>0</v>
      </c>
      <c r="CS17" s="252">
        <v>0</v>
      </c>
      <c r="CT17" s="252">
        <v>0</v>
      </c>
      <c r="CU17" s="252">
        <v>0</v>
      </c>
      <c r="CV17" s="252">
        <v>0</v>
      </c>
      <c r="CW17" s="252">
        <v>0</v>
      </c>
      <c r="CX17" s="252">
        <v>0</v>
      </c>
      <c r="CY17" s="252">
        <v>0</v>
      </c>
      <c r="CZ17" s="252">
        <v>0</v>
      </c>
      <c r="DA17" s="252">
        <v>0</v>
      </c>
      <c r="DB17" s="252">
        <v>0</v>
      </c>
      <c r="DC17" s="252">
        <v>0</v>
      </c>
      <c r="DD17" s="252">
        <v>0</v>
      </c>
      <c r="DE17" s="252">
        <v>0</v>
      </c>
      <c r="DF17" s="252">
        <v>0</v>
      </c>
      <c r="DG17" s="252">
        <v>0</v>
      </c>
      <c r="DH17" s="252">
        <v>0</v>
      </c>
      <c r="DI17" s="252">
        <v>0</v>
      </c>
      <c r="DJ17" s="252">
        <v>0</v>
      </c>
      <c r="DK17" s="252">
        <v>0</v>
      </c>
      <c r="DL17" s="252">
        <v>0</v>
      </c>
      <c r="DM17" s="252">
        <v>0</v>
      </c>
      <c r="DN17" s="252">
        <v>0</v>
      </c>
      <c r="DO17" s="252">
        <v>0</v>
      </c>
      <c r="DP17" s="252">
        <v>0</v>
      </c>
      <c r="DQ17" s="252">
        <v>0</v>
      </c>
      <c r="DR17" s="252">
        <v>0</v>
      </c>
      <c r="DS17" s="252">
        <v>0</v>
      </c>
      <c r="DT17" s="252">
        <v>0</v>
      </c>
      <c r="DU17" s="252">
        <v>0</v>
      </c>
      <c r="DV17" s="252">
        <v>0</v>
      </c>
      <c r="DW17" s="252">
        <v>0</v>
      </c>
      <c r="DX17" s="252">
        <v>0</v>
      </c>
      <c r="DY17" s="252">
        <v>0</v>
      </c>
      <c r="DZ17" s="252">
        <v>0</v>
      </c>
      <c r="EG17" s="252" t="str">
        <f>VLOOKUP(B17,'2022. tervsor'!C:D,2,0)</f>
        <v>Hajtó- és kenőanyag beszerzése</v>
      </c>
    </row>
    <row r="18" spans="1:137" s="252" customFormat="1" x14ac:dyDescent="0.3">
      <c r="A18" s="435"/>
      <c r="B18" s="435">
        <v>76</v>
      </c>
      <c r="C18" s="252">
        <v>0</v>
      </c>
      <c r="D18" s="252">
        <v>0</v>
      </c>
      <c r="E18" s="252">
        <v>0</v>
      </c>
      <c r="F18" s="252">
        <v>0</v>
      </c>
      <c r="G18" s="252">
        <v>0</v>
      </c>
      <c r="H18" s="252">
        <v>0</v>
      </c>
      <c r="I18" s="252">
        <v>0</v>
      </c>
      <c r="J18" s="252">
        <v>0</v>
      </c>
      <c r="K18" s="252">
        <v>0</v>
      </c>
      <c r="L18" s="252">
        <v>0</v>
      </c>
      <c r="M18" s="252">
        <v>0</v>
      </c>
      <c r="N18" s="252">
        <v>0</v>
      </c>
      <c r="O18" s="252">
        <v>0</v>
      </c>
      <c r="P18" s="252">
        <v>0</v>
      </c>
      <c r="Q18" s="252">
        <v>0</v>
      </c>
      <c r="R18" s="252">
        <v>0</v>
      </c>
      <c r="S18" s="252">
        <v>0</v>
      </c>
      <c r="T18" s="252">
        <v>0</v>
      </c>
      <c r="U18" s="252">
        <v>0</v>
      </c>
      <c r="V18" s="252">
        <v>0</v>
      </c>
      <c r="W18" s="252">
        <v>0</v>
      </c>
      <c r="X18" s="252">
        <v>0</v>
      </c>
      <c r="Y18" s="252">
        <v>0</v>
      </c>
      <c r="Z18" s="252">
        <v>0</v>
      </c>
      <c r="AA18" s="252">
        <v>0</v>
      </c>
      <c r="AB18" s="252">
        <v>0</v>
      </c>
      <c r="AC18" s="252">
        <v>0</v>
      </c>
      <c r="AD18" s="252">
        <v>0</v>
      </c>
      <c r="AE18" s="252">
        <v>0</v>
      </c>
      <c r="AF18" s="252">
        <v>0</v>
      </c>
      <c r="AG18" s="252">
        <v>0</v>
      </c>
      <c r="AH18" s="252">
        <v>0</v>
      </c>
      <c r="AI18" s="252">
        <v>0</v>
      </c>
      <c r="AJ18" s="252">
        <v>0</v>
      </c>
      <c r="AK18" s="252">
        <v>0</v>
      </c>
      <c r="AL18" s="252">
        <v>0</v>
      </c>
      <c r="AM18" s="252">
        <v>0</v>
      </c>
      <c r="AN18" s="252">
        <v>0</v>
      </c>
      <c r="AO18" s="252">
        <v>0</v>
      </c>
      <c r="AP18" s="252">
        <v>0</v>
      </c>
      <c r="AQ18" s="252">
        <v>0</v>
      </c>
      <c r="AR18" s="252">
        <v>0</v>
      </c>
      <c r="AS18" s="252">
        <v>0</v>
      </c>
      <c r="AT18" s="252">
        <v>0</v>
      </c>
      <c r="AU18" s="252">
        <v>0</v>
      </c>
      <c r="AV18" s="252">
        <v>0</v>
      </c>
      <c r="AW18" s="252">
        <v>0</v>
      </c>
      <c r="AX18" s="252">
        <v>0</v>
      </c>
      <c r="AY18" s="252">
        <v>0</v>
      </c>
      <c r="AZ18" s="252">
        <v>0</v>
      </c>
      <c r="BA18" s="252">
        <v>0</v>
      </c>
      <c r="BB18" s="252">
        <v>0</v>
      </c>
      <c r="BC18" s="252">
        <v>0</v>
      </c>
      <c r="BD18" s="252">
        <v>0</v>
      </c>
      <c r="BE18" s="252">
        <v>0</v>
      </c>
      <c r="BF18" s="252">
        <v>0</v>
      </c>
      <c r="BG18" s="252">
        <v>0</v>
      </c>
      <c r="BH18" s="252">
        <v>0</v>
      </c>
      <c r="BI18" s="252">
        <v>0</v>
      </c>
      <c r="BJ18" s="252">
        <v>0</v>
      </c>
      <c r="BK18" s="252">
        <v>0</v>
      </c>
      <c r="BL18" s="252">
        <v>0</v>
      </c>
      <c r="BM18" s="252">
        <v>0</v>
      </c>
      <c r="BN18" s="252">
        <v>0</v>
      </c>
      <c r="BO18" s="252">
        <v>0</v>
      </c>
      <c r="BP18" s="252">
        <v>0</v>
      </c>
      <c r="BQ18" s="252">
        <v>0</v>
      </c>
      <c r="BR18" s="252">
        <v>0</v>
      </c>
      <c r="BS18" s="252">
        <v>0</v>
      </c>
      <c r="BT18" s="252">
        <v>0</v>
      </c>
      <c r="BU18" s="252">
        <v>0</v>
      </c>
      <c r="BV18" s="252">
        <v>19163.814132027259</v>
      </c>
      <c r="BW18" s="252">
        <v>13757.742300154434</v>
      </c>
      <c r="BX18" s="252">
        <v>20978.264118430547</v>
      </c>
      <c r="BY18" s="252">
        <v>0</v>
      </c>
      <c r="BZ18" s="252">
        <v>0</v>
      </c>
      <c r="CA18" s="252">
        <v>0</v>
      </c>
      <c r="CB18" s="252">
        <v>0</v>
      </c>
      <c r="CC18" s="252">
        <v>0</v>
      </c>
      <c r="CD18" s="252">
        <v>0</v>
      </c>
      <c r="CE18" s="252">
        <v>0</v>
      </c>
      <c r="CF18" s="252">
        <v>0</v>
      </c>
      <c r="CG18" s="252">
        <v>0</v>
      </c>
      <c r="CH18" s="252">
        <v>0</v>
      </c>
      <c r="CI18" s="252">
        <v>0</v>
      </c>
      <c r="CJ18" s="252">
        <v>0</v>
      </c>
      <c r="CK18" s="252">
        <v>0</v>
      </c>
      <c r="CL18" s="252">
        <v>0</v>
      </c>
      <c r="CM18" s="252">
        <v>0</v>
      </c>
      <c r="CN18" s="252">
        <v>0</v>
      </c>
      <c r="CO18" s="252">
        <v>0</v>
      </c>
      <c r="CP18" s="252">
        <v>0</v>
      </c>
      <c r="CQ18" s="252">
        <v>0</v>
      </c>
      <c r="CR18" s="252">
        <v>0</v>
      </c>
      <c r="CS18" s="252">
        <v>0</v>
      </c>
      <c r="CT18" s="252">
        <v>0</v>
      </c>
      <c r="CU18" s="252">
        <v>0</v>
      </c>
      <c r="CV18" s="252">
        <v>0</v>
      </c>
      <c r="CW18" s="252">
        <v>0</v>
      </c>
      <c r="CX18" s="252">
        <v>0</v>
      </c>
      <c r="CY18" s="252">
        <v>0</v>
      </c>
      <c r="CZ18" s="252">
        <v>0</v>
      </c>
      <c r="DA18" s="252">
        <v>0</v>
      </c>
      <c r="DB18" s="252">
        <v>0</v>
      </c>
      <c r="DC18" s="252">
        <v>0</v>
      </c>
      <c r="DD18" s="252">
        <v>0</v>
      </c>
      <c r="DE18" s="252">
        <v>0</v>
      </c>
      <c r="DF18" s="252">
        <v>0</v>
      </c>
      <c r="DG18" s="252">
        <v>0</v>
      </c>
      <c r="DH18" s="252">
        <v>0</v>
      </c>
      <c r="DI18" s="252">
        <v>0</v>
      </c>
      <c r="DJ18" s="252">
        <v>0</v>
      </c>
      <c r="DK18" s="252">
        <v>0</v>
      </c>
      <c r="DL18" s="252">
        <v>0</v>
      </c>
      <c r="DM18" s="252">
        <v>0</v>
      </c>
      <c r="DN18" s="252">
        <v>0</v>
      </c>
      <c r="DO18" s="252">
        <v>0</v>
      </c>
      <c r="DP18" s="252">
        <v>0</v>
      </c>
      <c r="DQ18" s="252">
        <v>0</v>
      </c>
      <c r="DR18" s="252">
        <v>0</v>
      </c>
      <c r="DS18" s="252">
        <v>0</v>
      </c>
      <c r="DT18" s="252">
        <v>0</v>
      </c>
      <c r="DU18" s="252">
        <v>0</v>
      </c>
      <c r="DV18" s="252">
        <v>0</v>
      </c>
      <c r="DW18" s="252">
        <v>0</v>
      </c>
      <c r="DX18" s="252">
        <v>0</v>
      </c>
      <c r="DY18" s="252">
        <v>0</v>
      </c>
      <c r="DZ18" s="252">
        <v>0</v>
      </c>
      <c r="EG18" s="252" t="str">
        <f>VLOOKUP(B18,'2022. tervsor'!C:D,2,0)</f>
        <v>Munka-. védő- és formaruha beszerzés</v>
      </c>
    </row>
    <row r="19" spans="1:137" s="252" customFormat="1" x14ac:dyDescent="0.3">
      <c r="A19" s="435"/>
      <c r="B19" s="435">
        <v>77</v>
      </c>
      <c r="C19" s="252">
        <v>0</v>
      </c>
      <c r="D19" s="252">
        <v>0</v>
      </c>
      <c r="E19" s="252">
        <v>0</v>
      </c>
      <c r="F19" s="252">
        <v>0</v>
      </c>
      <c r="G19" s="252">
        <v>0</v>
      </c>
      <c r="H19" s="252">
        <v>0</v>
      </c>
      <c r="I19" s="252">
        <v>0</v>
      </c>
      <c r="J19" s="252">
        <v>0</v>
      </c>
      <c r="K19" s="252">
        <v>0</v>
      </c>
      <c r="L19" s="252">
        <v>0</v>
      </c>
      <c r="M19" s="252">
        <v>0</v>
      </c>
      <c r="N19" s="252">
        <v>0</v>
      </c>
      <c r="O19" s="252">
        <v>0</v>
      </c>
      <c r="P19" s="252">
        <v>0</v>
      </c>
      <c r="Q19" s="252">
        <v>0</v>
      </c>
      <c r="R19" s="252">
        <v>0</v>
      </c>
      <c r="S19" s="252">
        <v>0</v>
      </c>
      <c r="T19" s="252">
        <v>0</v>
      </c>
      <c r="U19" s="252">
        <v>0</v>
      </c>
      <c r="V19" s="252">
        <v>0</v>
      </c>
      <c r="W19" s="252">
        <v>0</v>
      </c>
      <c r="X19" s="252">
        <v>0</v>
      </c>
      <c r="Y19" s="252">
        <v>0</v>
      </c>
      <c r="Z19" s="252">
        <v>0</v>
      </c>
      <c r="AA19" s="252">
        <v>0</v>
      </c>
      <c r="AB19" s="252">
        <v>0</v>
      </c>
      <c r="AC19" s="252">
        <v>0</v>
      </c>
      <c r="AD19" s="252">
        <v>0</v>
      </c>
      <c r="AE19" s="252">
        <v>0</v>
      </c>
      <c r="AF19" s="252">
        <v>0</v>
      </c>
      <c r="AG19" s="252">
        <v>0</v>
      </c>
      <c r="AH19" s="252">
        <v>0</v>
      </c>
      <c r="AI19" s="252">
        <v>0</v>
      </c>
      <c r="AJ19" s="252">
        <v>0</v>
      </c>
      <c r="AK19" s="252">
        <v>0</v>
      </c>
      <c r="AL19" s="252">
        <v>0</v>
      </c>
      <c r="AM19" s="252">
        <v>0</v>
      </c>
      <c r="AN19" s="252">
        <v>0</v>
      </c>
      <c r="AO19" s="252">
        <v>0</v>
      </c>
      <c r="AP19" s="252">
        <v>0</v>
      </c>
      <c r="AQ19" s="252">
        <v>0</v>
      </c>
      <c r="AR19" s="252">
        <v>0</v>
      </c>
      <c r="AS19" s="252">
        <v>0</v>
      </c>
      <c r="AT19" s="252">
        <v>0</v>
      </c>
      <c r="AU19" s="252">
        <v>0</v>
      </c>
      <c r="AV19" s="252">
        <v>0</v>
      </c>
      <c r="AW19" s="252">
        <v>0</v>
      </c>
      <c r="AX19" s="252">
        <v>0</v>
      </c>
      <c r="AY19" s="252">
        <v>0</v>
      </c>
      <c r="AZ19" s="252">
        <v>0</v>
      </c>
      <c r="BA19" s="252">
        <v>0</v>
      </c>
      <c r="BB19" s="252">
        <v>0</v>
      </c>
      <c r="BC19" s="252">
        <v>0</v>
      </c>
      <c r="BD19" s="252">
        <v>0</v>
      </c>
      <c r="BE19" s="252">
        <v>0</v>
      </c>
      <c r="BF19" s="252">
        <v>0</v>
      </c>
      <c r="BG19" s="252">
        <v>0</v>
      </c>
      <c r="BH19" s="252">
        <v>0</v>
      </c>
      <c r="BI19" s="252">
        <v>0</v>
      </c>
      <c r="BJ19" s="252">
        <v>0</v>
      </c>
      <c r="BK19" s="252">
        <v>0</v>
      </c>
      <c r="BL19" s="252">
        <v>0</v>
      </c>
      <c r="BM19" s="252">
        <v>0</v>
      </c>
      <c r="BN19" s="252">
        <v>0</v>
      </c>
      <c r="BO19" s="252">
        <v>0</v>
      </c>
      <c r="BP19" s="252">
        <v>0</v>
      </c>
      <c r="BQ19" s="252">
        <v>0</v>
      </c>
      <c r="BR19" s="252">
        <v>0</v>
      </c>
      <c r="BS19" s="252">
        <v>0</v>
      </c>
      <c r="BT19" s="252">
        <v>0</v>
      </c>
      <c r="BU19" s="252">
        <v>0</v>
      </c>
      <c r="BV19" s="252">
        <v>223577.831540318</v>
      </c>
      <c r="BW19" s="252">
        <v>298084.41650334612</v>
      </c>
      <c r="BX19" s="252">
        <v>105730.45115688995</v>
      </c>
      <c r="BY19" s="252">
        <v>0</v>
      </c>
      <c r="BZ19" s="252">
        <v>0</v>
      </c>
      <c r="CA19" s="252">
        <v>0</v>
      </c>
      <c r="CB19" s="252">
        <v>23346.53336050524</v>
      </c>
      <c r="CC19" s="252">
        <v>0</v>
      </c>
      <c r="CD19" s="252">
        <v>0</v>
      </c>
      <c r="CE19" s="252">
        <v>0</v>
      </c>
      <c r="CF19" s="252">
        <v>0</v>
      </c>
      <c r="CG19" s="252">
        <v>0</v>
      </c>
      <c r="CH19" s="252">
        <v>0</v>
      </c>
      <c r="CI19" s="252">
        <v>0</v>
      </c>
      <c r="CJ19" s="252">
        <v>0</v>
      </c>
      <c r="CK19" s="252">
        <v>0</v>
      </c>
      <c r="CL19" s="252">
        <v>257942.06650929002</v>
      </c>
      <c r="CM19" s="252">
        <v>0</v>
      </c>
      <c r="CN19" s="252">
        <v>0</v>
      </c>
      <c r="CO19" s="252">
        <v>0</v>
      </c>
      <c r="CP19" s="252">
        <v>0</v>
      </c>
      <c r="CQ19" s="252">
        <v>0</v>
      </c>
      <c r="CR19" s="252">
        <v>0</v>
      </c>
      <c r="CS19" s="252">
        <v>0</v>
      </c>
      <c r="CT19" s="252">
        <v>0</v>
      </c>
      <c r="CU19" s="252">
        <v>0</v>
      </c>
      <c r="CV19" s="252">
        <v>0</v>
      </c>
      <c r="CW19" s="252">
        <v>0</v>
      </c>
      <c r="CX19" s="252">
        <v>0</v>
      </c>
      <c r="CY19" s="252">
        <v>51156.567399047068</v>
      </c>
      <c r="CZ19" s="252">
        <v>0</v>
      </c>
      <c r="DA19" s="252">
        <v>0</v>
      </c>
      <c r="DB19" s="252">
        <v>0</v>
      </c>
      <c r="DC19" s="252">
        <v>0</v>
      </c>
      <c r="DD19" s="252">
        <v>0</v>
      </c>
      <c r="DE19" s="252">
        <v>0</v>
      </c>
      <c r="DF19" s="252">
        <v>0</v>
      </c>
      <c r="DG19" s="252">
        <v>0</v>
      </c>
      <c r="DH19" s="252">
        <v>0</v>
      </c>
      <c r="DI19" s="252">
        <v>0</v>
      </c>
      <c r="DJ19" s="252">
        <v>0</v>
      </c>
      <c r="DK19" s="252">
        <v>0</v>
      </c>
      <c r="DL19" s="252">
        <v>0</v>
      </c>
      <c r="DM19" s="252">
        <v>0</v>
      </c>
      <c r="DN19" s="252">
        <v>0</v>
      </c>
      <c r="DO19" s="252">
        <v>0</v>
      </c>
      <c r="DP19" s="252">
        <v>0</v>
      </c>
      <c r="DQ19" s="252">
        <v>0</v>
      </c>
      <c r="DR19" s="252">
        <v>0</v>
      </c>
      <c r="DS19" s="252">
        <v>0</v>
      </c>
      <c r="DT19" s="252">
        <v>0</v>
      </c>
      <c r="DU19" s="252">
        <v>0</v>
      </c>
      <c r="DV19" s="252">
        <v>0</v>
      </c>
      <c r="DW19" s="252">
        <v>0</v>
      </c>
      <c r="DX19" s="252">
        <v>0</v>
      </c>
      <c r="DY19" s="252">
        <v>0</v>
      </c>
      <c r="DZ19" s="252">
        <v>0</v>
      </c>
      <c r="EG19" s="252" t="str">
        <f>VLOOKUP(B19,'2022. tervsor'!C:D,2,0)</f>
        <v>Karbantartási anyagok. alkatrészek.szerszámok beszerz</v>
      </c>
    </row>
    <row r="20" spans="1:137" s="252" customFormat="1" x14ac:dyDescent="0.3">
      <c r="A20" s="435"/>
      <c r="B20" s="435">
        <v>79</v>
      </c>
      <c r="C20" s="252">
        <v>0</v>
      </c>
      <c r="D20" s="252">
        <v>19000.540843202201</v>
      </c>
      <c r="E20" s="252">
        <v>1525.6986848235781</v>
      </c>
      <c r="F20" s="252">
        <v>608.37084264240934</v>
      </c>
      <c r="G20" s="252">
        <v>23874.839702509133</v>
      </c>
      <c r="H20" s="252">
        <v>11369.568681078779</v>
      </c>
      <c r="I20" s="252">
        <v>118.76946355675371</v>
      </c>
      <c r="J20" s="252">
        <v>433.66427438932163</v>
      </c>
      <c r="K20" s="252">
        <v>787.71041889551225</v>
      </c>
      <c r="L20" s="252">
        <v>3538.9165062750144</v>
      </c>
      <c r="M20" s="252">
        <v>87736.33601820629</v>
      </c>
      <c r="N20" s="252">
        <v>43559.021364008673</v>
      </c>
      <c r="O20" s="252">
        <v>1773.7849830790562</v>
      </c>
      <c r="P20" s="252">
        <v>9731.4436582902454</v>
      </c>
      <c r="Q20" s="252">
        <v>398687.52643386286</v>
      </c>
      <c r="R20" s="252">
        <v>10662.080766184052</v>
      </c>
      <c r="S20" s="252">
        <v>27761.783889456488</v>
      </c>
      <c r="T20" s="252">
        <v>50243.200049093582</v>
      </c>
      <c r="U20" s="252">
        <v>6355.1440605900389</v>
      </c>
      <c r="V20" s="252">
        <v>25600.497823806814</v>
      </c>
      <c r="W20" s="252">
        <v>3208.6098342360838</v>
      </c>
      <c r="X20" s="252">
        <v>10309641.926335175</v>
      </c>
      <c r="Y20" s="252">
        <v>66221.369078339441</v>
      </c>
      <c r="Z20" s="252">
        <v>60715.895393362371</v>
      </c>
      <c r="AA20" s="252">
        <v>243638.73070366695</v>
      </c>
      <c r="AB20" s="252">
        <v>0</v>
      </c>
      <c r="AC20" s="252">
        <v>36365.586624494397</v>
      </c>
      <c r="AD20" s="252">
        <v>0</v>
      </c>
      <c r="AE20" s="252">
        <v>0</v>
      </c>
      <c r="AF20" s="252">
        <v>0</v>
      </c>
      <c r="AG20" s="252">
        <v>0</v>
      </c>
      <c r="AH20" s="252">
        <v>0</v>
      </c>
      <c r="AI20" s="252">
        <v>0</v>
      </c>
      <c r="AJ20" s="252">
        <v>0</v>
      </c>
      <c r="AK20" s="252">
        <v>0</v>
      </c>
      <c r="AL20" s="252">
        <v>0</v>
      </c>
      <c r="AM20" s="252">
        <v>0</v>
      </c>
      <c r="AN20" s="252">
        <v>122904.29914786795</v>
      </c>
      <c r="AO20" s="252">
        <v>0</v>
      </c>
      <c r="AP20" s="252">
        <v>0</v>
      </c>
      <c r="AQ20" s="252">
        <v>64434.062483365968</v>
      </c>
      <c r="AR20" s="252">
        <v>0</v>
      </c>
      <c r="AS20" s="252">
        <v>0</v>
      </c>
      <c r="AT20" s="252">
        <v>0</v>
      </c>
      <c r="AU20" s="252">
        <v>39084.662528990353</v>
      </c>
      <c r="AV20" s="252">
        <v>110163.98129657037</v>
      </c>
      <c r="AW20" s="252">
        <v>2228101.4420300014</v>
      </c>
      <c r="AX20" s="252">
        <v>471077.75220946572</v>
      </c>
      <c r="AY20" s="252">
        <v>176458.82228852806</v>
      </c>
      <c r="AZ20" s="252">
        <v>32008.496231819958</v>
      </c>
      <c r="BA20" s="252">
        <v>0</v>
      </c>
      <c r="BB20" s="252">
        <v>2486.3561887682094</v>
      </c>
      <c r="BC20" s="252">
        <v>15669.425247081155</v>
      </c>
      <c r="BD20" s="252">
        <v>0</v>
      </c>
      <c r="BE20" s="252">
        <v>0</v>
      </c>
      <c r="BF20" s="252">
        <v>0</v>
      </c>
      <c r="BG20" s="252">
        <v>0</v>
      </c>
      <c r="BH20" s="252">
        <v>0</v>
      </c>
      <c r="BI20" s="252">
        <v>60702.800246077008</v>
      </c>
      <c r="BJ20" s="252">
        <v>4636.1510902625496</v>
      </c>
      <c r="BK20" s="252">
        <v>97980.813293511907</v>
      </c>
      <c r="BL20" s="252">
        <v>77931.876092899751</v>
      </c>
      <c r="BM20" s="252">
        <v>3580.025318797304</v>
      </c>
      <c r="BN20" s="252">
        <v>225833.28459857107</v>
      </c>
      <c r="BO20" s="252">
        <v>3082.0726485315386</v>
      </c>
      <c r="BP20" s="252">
        <v>128652.88796229645</v>
      </c>
      <c r="BQ20" s="252">
        <v>40831.269497676331</v>
      </c>
      <c r="BR20" s="252">
        <v>3628.6176503248507</v>
      </c>
      <c r="BS20" s="252">
        <v>8280.0851260345153</v>
      </c>
      <c r="BT20" s="252">
        <v>1920.6117871591414</v>
      </c>
      <c r="BU20" s="252">
        <v>108005.39319955287</v>
      </c>
      <c r="BV20" s="252">
        <v>103229.07879118684</v>
      </c>
      <c r="BW20" s="252">
        <v>64569.670528724819</v>
      </c>
      <c r="BX20" s="252">
        <v>98457.986262500694</v>
      </c>
      <c r="BY20" s="252">
        <v>132916.81761321842</v>
      </c>
      <c r="BZ20" s="252">
        <v>92914.202172221325</v>
      </c>
      <c r="CA20" s="252">
        <v>0</v>
      </c>
      <c r="CB20" s="252">
        <v>31128.711147340324</v>
      </c>
      <c r="CC20" s="252">
        <v>0</v>
      </c>
      <c r="CD20" s="252">
        <v>43750.56977841862</v>
      </c>
      <c r="CE20" s="252">
        <v>0</v>
      </c>
      <c r="CF20" s="252">
        <v>24329.920751178459</v>
      </c>
      <c r="CG20" s="252">
        <v>12488.075037859193</v>
      </c>
      <c r="CH20" s="252">
        <v>39093.911032382668</v>
      </c>
      <c r="CI20" s="252">
        <v>0</v>
      </c>
      <c r="CJ20" s="252">
        <v>0</v>
      </c>
      <c r="CK20" s="252">
        <v>0</v>
      </c>
      <c r="CL20" s="252">
        <v>5168.5141576798978</v>
      </c>
      <c r="CM20" s="252">
        <v>191103.29417114251</v>
      </c>
      <c r="CN20" s="252">
        <v>8329.7784085907369</v>
      </c>
      <c r="CO20" s="252">
        <v>21037.684118483689</v>
      </c>
      <c r="CP20" s="252">
        <v>78442.110526382923</v>
      </c>
      <c r="CQ20" s="252">
        <v>21516.471472079091</v>
      </c>
      <c r="CR20" s="252">
        <v>36554.613700066366</v>
      </c>
      <c r="CS20" s="252">
        <v>31708.999655263367</v>
      </c>
      <c r="CT20" s="252">
        <v>17542.655704101282</v>
      </c>
      <c r="CU20" s="252">
        <v>7875.0234852838685</v>
      </c>
      <c r="CV20" s="252">
        <v>9718.3826304782069</v>
      </c>
      <c r="CW20" s="252">
        <v>79595.611575442803</v>
      </c>
      <c r="CX20" s="252">
        <v>0</v>
      </c>
      <c r="CY20" s="252">
        <v>20462.626959618825</v>
      </c>
      <c r="CZ20" s="252">
        <v>0</v>
      </c>
      <c r="DA20" s="252">
        <v>0</v>
      </c>
      <c r="DB20" s="252">
        <v>0</v>
      </c>
      <c r="DC20" s="252">
        <v>0</v>
      </c>
      <c r="DD20" s="252">
        <v>0</v>
      </c>
      <c r="DE20" s="252">
        <v>0</v>
      </c>
      <c r="DF20" s="252">
        <v>0</v>
      </c>
      <c r="DG20" s="252">
        <v>0</v>
      </c>
      <c r="DH20" s="252">
        <v>0</v>
      </c>
      <c r="DI20" s="252">
        <v>0</v>
      </c>
      <c r="DJ20" s="252">
        <v>0</v>
      </c>
      <c r="DK20" s="252">
        <v>0</v>
      </c>
      <c r="DL20" s="252">
        <v>0</v>
      </c>
      <c r="DM20" s="252">
        <v>0</v>
      </c>
      <c r="DN20" s="252">
        <v>0</v>
      </c>
      <c r="DO20" s="252">
        <v>0</v>
      </c>
      <c r="DP20" s="252">
        <v>0</v>
      </c>
      <c r="DQ20" s="252">
        <v>0</v>
      </c>
      <c r="DR20" s="252">
        <v>0</v>
      </c>
      <c r="DS20" s="252">
        <v>0</v>
      </c>
      <c r="DT20" s="252">
        <v>0</v>
      </c>
      <c r="DU20" s="252">
        <v>0</v>
      </c>
      <c r="DV20" s="252">
        <v>0</v>
      </c>
      <c r="DW20" s="252">
        <v>0</v>
      </c>
      <c r="DX20" s="252">
        <v>0</v>
      </c>
      <c r="DY20" s="252">
        <v>0</v>
      </c>
      <c r="DZ20" s="252">
        <v>0</v>
      </c>
      <c r="EG20" s="252" t="str">
        <f>VLOOKUP(B20,'2022. tervsor'!C:D,2,0)</f>
        <v>Tisztítószerek. tisztálkodási szerek beszerzése</v>
      </c>
    </row>
    <row r="21" spans="1:137" s="252" customFormat="1" x14ac:dyDescent="0.3">
      <c r="A21" s="435"/>
      <c r="B21" s="435">
        <v>81</v>
      </c>
      <c r="C21" s="252">
        <v>0</v>
      </c>
      <c r="D21" s="252">
        <v>0</v>
      </c>
      <c r="E21" s="252">
        <v>0</v>
      </c>
      <c r="F21" s="252">
        <v>0</v>
      </c>
      <c r="G21" s="252">
        <v>0</v>
      </c>
      <c r="H21" s="252">
        <v>0</v>
      </c>
      <c r="I21" s="252">
        <v>0</v>
      </c>
      <c r="J21" s="252">
        <v>0</v>
      </c>
      <c r="K21" s="252">
        <v>0</v>
      </c>
      <c r="L21" s="252">
        <v>0</v>
      </c>
      <c r="M21" s="252">
        <v>0</v>
      </c>
      <c r="N21" s="252">
        <v>0</v>
      </c>
      <c r="O21" s="252">
        <v>0</v>
      </c>
      <c r="P21" s="252">
        <v>0</v>
      </c>
      <c r="Q21" s="252">
        <v>0</v>
      </c>
      <c r="R21" s="252">
        <v>0</v>
      </c>
      <c r="S21" s="252">
        <v>0</v>
      </c>
      <c r="T21" s="252">
        <v>0</v>
      </c>
      <c r="U21" s="252">
        <v>0</v>
      </c>
      <c r="V21" s="252">
        <v>0</v>
      </c>
      <c r="W21" s="252">
        <v>0</v>
      </c>
      <c r="X21" s="252">
        <v>0</v>
      </c>
      <c r="Y21" s="252">
        <v>0</v>
      </c>
      <c r="Z21" s="252">
        <v>0</v>
      </c>
      <c r="AA21" s="252">
        <v>0</v>
      </c>
      <c r="AB21" s="252">
        <v>0</v>
      </c>
      <c r="AC21" s="252">
        <v>0</v>
      </c>
      <c r="AD21" s="252">
        <v>0</v>
      </c>
      <c r="AE21" s="252">
        <v>0</v>
      </c>
      <c r="AF21" s="252">
        <v>0</v>
      </c>
      <c r="AG21" s="252">
        <v>0</v>
      </c>
      <c r="AH21" s="252">
        <v>0</v>
      </c>
      <c r="AI21" s="252">
        <v>0</v>
      </c>
      <c r="AJ21" s="252">
        <v>0</v>
      </c>
      <c r="AK21" s="252">
        <v>0</v>
      </c>
      <c r="AL21" s="252">
        <v>0</v>
      </c>
      <c r="AM21" s="252">
        <v>0</v>
      </c>
      <c r="AN21" s="252">
        <v>0</v>
      </c>
      <c r="AO21" s="252">
        <v>0</v>
      </c>
      <c r="AP21" s="252">
        <v>0</v>
      </c>
      <c r="AQ21" s="252">
        <v>0</v>
      </c>
      <c r="AR21" s="252">
        <v>0</v>
      </c>
      <c r="AS21" s="252">
        <v>0</v>
      </c>
      <c r="AT21" s="252">
        <v>0</v>
      </c>
      <c r="AU21" s="252">
        <v>0</v>
      </c>
      <c r="AV21" s="252">
        <v>0</v>
      </c>
      <c r="AW21" s="252">
        <v>0</v>
      </c>
      <c r="AX21" s="252">
        <v>0</v>
      </c>
      <c r="AY21" s="252">
        <v>0</v>
      </c>
      <c r="AZ21" s="252">
        <v>0</v>
      </c>
      <c r="BA21" s="252">
        <v>0</v>
      </c>
      <c r="BB21" s="252">
        <v>0</v>
      </c>
      <c r="BC21" s="252">
        <v>0</v>
      </c>
      <c r="BD21" s="252">
        <v>0</v>
      </c>
      <c r="BE21" s="252">
        <v>0</v>
      </c>
      <c r="BF21" s="252">
        <v>0</v>
      </c>
      <c r="BG21" s="252">
        <v>0</v>
      </c>
      <c r="BH21" s="252">
        <v>0</v>
      </c>
      <c r="BI21" s="252">
        <v>0</v>
      </c>
      <c r="BJ21" s="252">
        <v>0</v>
      </c>
      <c r="BK21" s="252">
        <v>0</v>
      </c>
      <c r="BL21" s="252">
        <v>0</v>
      </c>
      <c r="BM21" s="252">
        <v>0</v>
      </c>
      <c r="BN21" s="252">
        <v>0</v>
      </c>
      <c r="BO21" s="252">
        <v>0</v>
      </c>
      <c r="BP21" s="252">
        <v>0</v>
      </c>
      <c r="BQ21" s="252">
        <v>0</v>
      </c>
      <c r="BR21" s="252">
        <v>0</v>
      </c>
      <c r="BS21" s="252">
        <v>0</v>
      </c>
      <c r="BT21" s="252">
        <v>0</v>
      </c>
      <c r="BU21" s="252">
        <v>0</v>
      </c>
      <c r="BV21" s="252">
        <v>0</v>
      </c>
      <c r="BW21" s="252">
        <v>0</v>
      </c>
      <c r="BX21" s="252">
        <v>0</v>
      </c>
      <c r="BY21" s="252">
        <v>0</v>
      </c>
      <c r="BZ21" s="252">
        <v>0</v>
      </c>
      <c r="CA21" s="252">
        <v>0</v>
      </c>
      <c r="CB21" s="252">
        <v>0</v>
      </c>
      <c r="CC21" s="252">
        <v>0</v>
      </c>
      <c r="CD21" s="252">
        <v>0</v>
      </c>
      <c r="CE21" s="252">
        <v>0</v>
      </c>
      <c r="CF21" s="252">
        <v>0</v>
      </c>
      <c r="CG21" s="252">
        <v>0</v>
      </c>
      <c r="CH21" s="252">
        <v>0</v>
      </c>
      <c r="CI21" s="252">
        <v>0</v>
      </c>
      <c r="CJ21" s="252">
        <v>0</v>
      </c>
      <c r="CK21" s="252">
        <v>0</v>
      </c>
      <c r="CL21" s="252">
        <v>0</v>
      </c>
      <c r="CM21" s="252">
        <v>0</v>
      </c>
      <c r="CN21" s="252">
        <v>0</v>
      </c>
      <c r="CO21" s="252">
        <v>0</v>
      </c>
      <c r="CP21" s="252">
        <v>0</v>
      </c>
      <c r="CQ21" s="252">
        <v>0</v>
      </c>
      <c r="CR21" s="252">
        <v>0</v>
      </c>
      <c r="CS21" s="252">
        <v>0</v>
      </c>
      <c r="CT21" s="252">
        <v>0</v>
      </c>
      <c r="CU21" s="252">
        <v>0</v>
      </c>
      <c r="CV21" s="252">
        <v>0</v>
      </c>
      <c r="CW21" s="252">
        <v>0</v>
      </c>
      <c r="CX21" s="252">
        <v>0</v>
      </c>
      <c r="CY21" s="252">
        <v>0</v>
      </c>
      <c r="CZ21" s="252">
        <v>0</v>
      </c>
      <c r="DA21" s="252">
        <v>0</v>
      </c>
      <c r="DB21" s="252">
        <v>0</v>
      </c>
      <c r="DC21" s="252">
        <v>0</v>
      </c>
      <c r="DD21" s="252">
        <v>0</v>
      </c>
      <c r="DE21" s="252">
        <v>0</v>
      </c>
      <c r="DF21" s="252">
        <v>0</v>
      </c>
      <c r="DG21" s="252">
        <v>0</v>
      </c>
      <c r="DH21" s="252">
        <v>0</v>
      </c>
      <c r="DI21" s="252">
        <v>0</v>
      </c>
      <c r="DJ21" s="252">
        <v>0</v>
      </c>
      <c r="DK21" s="252">
        <v>0</v>
      </c>
      <c r="DL21" s="252">
        <v>0</v>
      </c>
      <c r="DM21" s="252">
        <v>0</v>
      </c>
      <c r="DN21" s="252">
        <v>0</v>
      </c>
      <c r="DO21" s="252">
        <v>0</v>
      </c>
      <c r="DP21" s="252">
        <v>0</v>
      </c>
      <c r="DQ21" s="252">
        <v>0</v>
      </c>
      <c r="DR21" s="252">
        <v>0</v>
      </c>
      <c r="DS21" s="252">
        <v>0</v>
      </c>
      <c r="DT21" s="252">
        <v>0</v>
      </c>
      <c r="DU21" s="252">
        <v>0</v>
      </c>
      <c r="DV21" s="252">
        <v>0</v>
      </c>
      <c r="DW21" s="252">
        <v>0</v>
      </c>
      <c r="DX21" s="252">
        <v>0</v>
      </c>
      <c r="DY21" s="252">
        <v>0</v>
      </c>
      <c r="DZ21" s="252">
        <v>0</v>
      </c>
      <c r="EG21" s="252" t="str">
        <f>VLOOKUP(B21,'2022. tervsor'!C:D,2,0)</f>
        <v>Egyéb készletbeszerzés</v>
      </c>
    </row>
    <row r="22" spans="1:137" s="252" customFormat="1" x14ac:dyDescent="0.3">
      <c r="A22" s="435"/>
      <c r="B22" s="435">
        <v>90</v>
      </c>
      <c r="C22" s="252">
        <v>0</v>
      </c>
      <c r="D22" s="252">
        <v>0</v>
      </c>
      <c r="E22" s="252">
        <v>0</v>
      </c>
      <c r="F22" s="252">
        <v>0</v>
      </c>
      <c r="G22" s="252">
        <v>0</v>
      </c>
      <c r="H22" s="252">
        <v>0</v>
      </c>
      <c r="I22" s="252">
        <v>0</v>
      </c>
      <c r="J22" s="252">
        <v>0</v>
      </c>
      <c r="K22" s="252">
        <v>0</v>
      </c>
      <c r="L22" s="252">
        <v>0</v>
      </c>
      <c r="M22" s="252">
        <v>0</v>
      </c>
      <c r="N22" s="252">
        <v>0</v>
      </c>
      <c r="O22" s="252">
        <v>0</v>
      </c>
      <c r="P22" s="252">
        <v>0</v>
      </c>
      <c r="Q22" s="252">
        <v>0</v>
      </c>
      <c r="R22" s="252">
        <v>0</v>
      </c>
      <c r="S22" s="252">
        <v>0</v>
      </c>
      <c r="T22" s="252">
        <v>0</v>
      </c>
      <c r="U22" s="252">
        <v>0</v>
      </c>
      <c r="V22" s="252">
        <v>0</v>
      </c>
      <c r="W22" s="252">
        <v>0</v>
      </c>
      <c r="X22" s="252">
        <v>0</v>
      </c>
      <c r="Y22" s="252">
        <v>0</v>
      </c>
      <c r="Z22" s="252">
        <v>0</v>
      </c>
      <c r="AA22" s="252">
        <v>0</v>
      </c>
      <c r="AB22" s="252">
        <v>0</v>
      </c>
      <c r="AC22" s="252">
        <v>0</v>
      </c>
      <c r="AD22" s="252">
        <v>0</v>
      </c>
      <c r="AE22" s="252">
        <v>0</v>
      </c>
      <c r="AF22" s="252">
        <v>0</v>
      </c>
      <c r="AG22" s="252">
        <v>0</v>
      </c>
      <c r="AH22" s="252">
        <v>0</v>
      </c>
      <c r="AI22" s="252">
        <v>0</v>
      </c>
      <c r="AJ22" s="252">
        <v>0</v>
      </c>
      <c r="AK22" s="252">
        <v>0</v>
      </c>
      <c r="AL22" s="252">
        <v>0</v>
      </c>
      <c r="AM22" s="252">
        <v>0</v>
      </c>
      <c r="AN22" s="252">
        <v>0</v>
      </c>
      <c r="AO22" s="252">
        <v>0</v>
      </c>
      <c r="AP22" s="252">
        <v>0</v>
      </c>
      <c r="AQ22" s="252">
        <v>0</v>
      </c>
      <c r="AR22" s="252">
        <v>0</v>
      </c>
      <c r="AS22" s="252">
        <v>0</v>
      </c>
      <c r="AT22" s="252">
        <v>0</v>
      </c>
      <c r="AU22" s="252">
        <v>0</v>
      </c>
      <c r="AV22" s="252">
        <v>0</v>
      </c>
      <c r="AW22" s="252">
        <v>0</v>
      </c>
      <c r="AX22" s="252">
        <v>0</v>
      </c>
      <c r="AY22" s="252">
        <v>0</v>
      </c>
      <c r="AZ22" s="252">
        <v>0</v>
      </c>
      <c r="BA22" s="252">
        <v>0</v>
      </c>
      <c r="BB22" s="252">
        <v>0</v>
      </c>
      <c r="BC22" s="252">
        <v>0</v>
      </c>
      <c r="BD22" s="252">
        <v>0</v>
      </c>
      <c r="BE22" s="252">
        <v>0</v>
      </c>
      <c r="BF22" s="252">
        <v>0</v>
      </c>
      <c r="BG22" s="252">
        <v>0</v>
      </c>
      <c r="BH22" s="252">
        <v>0</v>
      </c>
      <c r="BI22" s="252">
        <v>0</v>
      </c>
      <c r="BJ22" s="252">
        <v>0</v>
      </c>
      <c r="BK22" s="252">
        <v>0</v>
      </c>
      <c r="BL22" s="252">
        <v>0</v>
      </c>
      <c r="BM22" s="252">
        <v>0</v>
      </c>
      <c r="BN22" s="252">
        <v>0</v>
      </c>
      <c r="BO22" s="252">
        <v>0</v>
      </c>
      <c r="BP22" s="252">
        <v>0</v>
      </c>
      <c r="BQ22" s="252">
        <v>0</v>
      </c>
      <c r="BR22" s="252">
        <v>0</v>
      </c>
      <c r="BS22" s="252">
        <v>0</v>
      </c>
      <c r="BT22" s="252">
        <v>0</v>
      </c>
      <c r="BU22" s="252">
        <v>0</v>
      </c>
      <c r="BV22" s="252">
        <v>0</v>
      </c>
      <c r="BW22" s="252">
        <v>0</v>
      </c>
      <c r="BX22" s="252">
        <v>0</v>
      </c>
      <c r="BY22" s="252">
        <v>0</v>
      </c>
      <c r="BZ22" s="252">
        <v>0</v>
      </c>
      <c r="CA22" s="252">
        <v>0</v>
      </c>
      <c r="CB22" s="252">
        <v>0</v>
      </c>
      <c r="CC22" s="252">
        <v>0</v>
      </c>
      <c r="CD22" s="252">
        <v>0</v>
      </c>
      <c r="CE22" s="252">
        <v>0</v>
      </c>
      <c r="CF22" s="252">
        <v>0</v>
      </c>
      <c r="CG22" s="252">
        <v>0</v>
      </c>
      <c r="CH22" s="252">
        <v>0</v>
      </c>
      <c r="CI22" s="252">
        <v>0</v>
      </c>
      <c r="CJ22" s="252">
        <v>0</v>
      </c>
      <c r="CK22" s="252">
        <v>0</v>
      </c>
      <c r="CL22" s="252">
        <v>0</v>
      </c>
      <c r="CM22" s="252">
        <v>0</v>
      </c>
      <c r="CN22" s="252">
        <v>0</v>
      </c>
      <c r="CO22" s="252">
        <v>0</v>
      </c>
      <c r="CP22" s="252">
        <v>0</v>
      </c>
      <c r="CQ22" s="252">
        <v>0</v>
      </c>
      <c r="CR22" s="252">
        <v>0</v>
      </c>
      <c r="CS22" s="252">
        <v>0</v>
      </c>
      <c r="CT22" s="252">
        <v>0</v>
      </c>
      <c r="CU22" s="252">
        <v>0</v>
      </c>
      <c r="CV22" s="252">
        <v>0</v>
      </c>
      <c r="CW22" s="252">
        <v>0</v>
      </c>
      <c r="CX22" s="252">
        <v>0</v>
      </c>
      <c r="CY22" s="252">
        <v>0</v>
      </c>
      <c r="CZ22" s="252">
        <v>0</v>
      </c>
      <c r="DA22" s="252">
        <v>0</v>
      </c>
      <c r="DB22" s="252">
        <v>0</v>
      </c>
      <c r="DC22" s="252">
        <v>0</v>
      </c>
      <c r="DD22" s="252">
        <v>0</v>
      </c>
      <c r="DE22" s="252">
        <v>0</v>
      </c>
      <c r="DF22" s="252">
        <v>0</v>
      </c>
      <c r="DG22" s="252">
        <v>0</v>
      </c>
      <c r="DH22" s="252">
        <v>0</v>
      </c>
      <c r="DI22" s="252">
        <v>0</v>
      </c>
      <c r="DJ22" s="252">
        <v>0</v>
      </c>
      <c r="DK22" s="252">
        <v>0</v>
      </c>
      <c r="DL22" s="252">
        <v>0</v>
      </c>
      <c r="DM22" s="252">
        <v>0</v>
      </c>
      <c r="DN22" s="252">
        <v>0</v>
      </c>
      <c r="DO22" s="252">
        <v>0</v>
      </c>
      <c r="DP22" s="252">
        <v>0</v>
      </c>
      <c r="DQ22" s="252">
        <v>0</v>
      </c>
      <c r="DR22" s="252">
        <v>0</v>
      </c>
      <c r="DS22" s="252">
        <v>0</v>
      </c>
      <c r="DT22" s="252">
        <v>0</v>
      </c>
      <c r="DU22" s="252">
        <v>0</v>
      </c>
      <c r="DV22" s="252">
        <v>0</v>
      </c>
      <c r="DW22" s="252">
        <v>0</v>
      </c>
      <c r="DX22" s="252">
        <v>0</v>
      </c>
      <c r="DY22" s="252">
        <v>0</v>
      </c>
      <c r="DZ22" s="252">
        <v>0</v>
      </c>
      <c r="EG22" s="252" t="str">
        <f>VLOOKUP(B22,'2022. tervsor'!C:D,2,0)</f>
        <v>TV előfizetési díj</v>
      </c>
    </row>
    <row r="23" spans="1:137" s="252" customFormat="1" x14ac:dyDescent="0.3">
      <c r="A23" s="435"/>
      <c r="B23" s="435">
        <v>91</v>
      </c>
      <c r="C23" s="252">
        <v>0</v>
      </c>
      <c r="D23" s="252">
        <v>0</v>
      </c>
      <c r="E23" s="252">
        <v>0</v>
      </c>
      <c r="F23" s="252">
        <v>0</v>
      </c>
      <c r="G23" s="252">
        <v>0</v>
      </c>
      <c r="H23" s="252">
        <v>0</v>
      </c>
      <c r="I23" s="252">
        <v>0</v>
      </c>
      <c r="J23" s="252">
        <v>0</v>
      </c>
      <c r="K23" s="252">
        <v>0</v>
      </c>
      <c r="L23" s="252">
        <v>0</v>
      </c>
      <c r="M23" s="252">
        <v>0</v>
      </c>
      <c r="N23" s="252">
        <v>0</v>
      </c>
      <c r="O23" s="252">
        <v>0</v>
      </c>
      <c r="P23" s="252">
        <v>0</v>
      </c>
      <c r="Q23" s="252">
        <v>0</v>
      </c>
      <c r="R23" s="252">
        <v>0</v>
      </c>
      <c r="S23" s="252">
        <v>0</v>
      </c>
      <c r="T23" s="252">
        <v>0</v>
      </c>
      <c r="U23" s="252">
        <v>0</v>
      </c>
      <c r="V23" s="252">
        <v>0</v>
      </c>
      <c r="W23" s="252">
        <v>0</v>
      </c>
      <c r="X23" s="252">
        <v>0</v>
      </c>
      <c r="Y23" s="252">
        <v>0</v>
      </c>
      <c r="Z23" s="252">
        <v>0</v>
      </c>
      <c r="AA23" s="252">
        <v>0</v>
      </c>
      <c r="AB23" s="252">
        <v>0</v>
      </c>
      <c r="AC23" s="252">
        <v>0</v>
      </c>
      <c r="AD23" s="252">
        <v>0</v>
      </c>
      <c r="AE23" s="252">
        <v>0</v>
      </c>
      <c r="AF23" s="252">
        <v>0</v>
      </c>
      <c r="AG23" s="252">
        <v>0</v>
      </c>
      <c r="AH23" s="252">
        <v>0</v>
      </c>
      <c r="AI23" s="252">
        <v>0</v>
      </c>
      <c r="AJ23" s="252">
        <v>0</v>
      </c>
      <c r="AK23" s="252">
        <v>0</v>
      </c>
      <c r="AL23" s="252">
        <v>0</v>
      </c>
      <c r="AM23" s="252">
        <v>0</v>
      </c>
      <c r="AN23" s="252">
        <v>0</v>
      </c>
      <c r="AO23" s="252">
        <v>0</v>
      </c>
      <c r="AP23" s="252">
        <v>0</v>
      </c>
      <c r="AQ23" s="252">
        <v>0</v>
      </c>
      <c r="AR23" s="252">
        <v>0</v>
      </c>
      <c r="AS23" s="252">
        <v>0</v>
      </c>
      <c r="AT23" s="252">
        <v>0</v>
      </c>
      <c r="AU23" s="252">
        <v>0</v>
      </c>
      <c r="AV23" s="252">
        <v>0</v>
      </c>
      <c r="AW23" s="252">
        <v>0</v>
      </c>
      <c r="AX23" s="252">
        <v>0</v>
      </c>
      <c r="AY23" s="252">
        <v>0</v>
      </c>
      <c r="AZ23" s="252">
        <v>0</v>
      </c>
      <c r="BA23" s="252">
        <v>0</v>
      </c>
      <c r="BB23" s="252">
        <v>0</v>
      </c>
      <c r="BC23" s="252">
        <v>0</v>
      </c>
      <c r="BD23" s="252">
        <v>0</v>
      </c>
      <c r="BE23" s="252">
        <v>0</v>
      </c>
      <c r="BF23" s="252">
        <v>0</v>
      </c>
      <c r="BG23" s="252">
        <v>0</v>
      </c>
      <c r="BH23" s="252">
        <v>0</v>
      </c>
      <c r="BI23" s="252">
        <v>0</v>
      </c>
      <c r="BJ23" s="252">
        <v>0</v>
      </c>
      <c r="BK23" s="252">
        <v>0</v>
      </c>
      <c r="BL23" s="252">
        <v>0</v>
      </c>
      <c r="BM23" s="252">
        <v>0</v>
      </c>
      <c r="BN23" s="252">
        <v>0</v>
      </c>
      <c r="BO23" s="252">
        <v>0</v>
      </c>
      <c r="BP23" s="252">
        <v>0</v>
      </c>
      <c r="BQ23" s="252">
        <v>0</v>
      </c>
      <c r="BR23" s="252">
        <v>0</v>
      </c>
      <c r="BS23" s="252">
        <v>0</v>
      </c>
      <c r="BT23" s="252">
        <v>0</v>
      </c>
      <c r="BU23" s="252">
        <v>0</v>
      </c>
      <c r="BV23" s="252">
        <v>0</v>
      </c>
      <c r="BW23" s="252">
        <v>0</v>
      </c>
      <c r="BX23" s="252">
        <v>0</v>
      </c>
      <c r="BY23" s="252">
        <v>0</v>
      </c>
      <c r="BZ23" s="252">
        <v>0</v>
      </c>
      <c r="CA23" s="252">
        <v>0</v>
      </c>
      <c r="CB23" s="252">
        <v>0</v>
      </c>
      <c r="CC23" s="252">
        <v>0</v>
      </c>
      <c r="CD23" s="252">
        <v>140001.82329093959</v>
      </c>
      <c r="CE23" s="252">
        <v>0</v>
      </c>
      <c r="CF23" s="252">
        <v>0</v>
      </c>
      <c r="CG23" s="252">
        <v>0</v>
      </c>
      <c r="CH23" s="252">
        <v>0</v>
      </c>
      <c r="CI23" s="252">
        <v>0</v>
      </c>
      <c r="CJ23" s="252">
        <v>0</v>
      </c>
      <c r="CK23" s="252">
        <v>0</v>
      </c>
      <c r="CL23" s="252">
        <v>0</v>
      </c>
      <c r="CM23" s="252">
        <v>0</v>
      </c>
      <c r="CN23" s="252">
        <v>0</v>
      </c>
      <c r="CO23" s="252">
        <v>0</v>
      </c>
      <c r="CP23" s="252">
        <v>0</v>
      </c>
      <c r="CQ23" s="252">
        <v>0</v>
      </c>
      <c r="CR23" s="252">
        <v>0</v>
      </c>
      <c r="CS23" s="252">
        <v>0</v>
      </c>
      <c r="CT23" s="252">
        <v>0</v>
      </c>
      <c r="CU23" s="252">
        <v>0</v>
      </c>
      <c r="CV23" s="252">
        <v>0</v>
      </c>
      <c r="CW23" s="252">
        <v>0</v>
      </c>
      <c r="CX23" s="252">
        <v>0</v>
      </c>
      <c r="CY23" s="252">
        <v>0</v>
      </c>
      <c r="CZ23" s="252">
        <v>0</v>
      </c>
      <c r="DA23" s="252">
        <v>0</v>
      </c>
      <c r="DB23" s="252">
        <v>0</v>
      </c>
      <c r="DC23" s="252">
        <v>0</v>
      </c>
      <c r="DD23" s="252">
        <v>0</v>
      </c>
      <c r="DE23" s="252">
        <v>0</v>
      </c>
      <c r="DF23" s="252">
        <v>0</v>
      </c>
      <c r="DG23" s="252">
        <v>0</v>
      </c>
      <c r="DH23" s="252">
        <v>0</v>
      </c>
      <c r="DI23" s="252">
        <v>0</v>
      </c>
      <c r="DJ23" s="252">
        <v>0</v>
      </c>
      <c r="DK23" s="252">
        <v>0</v>
      </c>
      <c r="DL23" s="252">
        <v>0</v>
      </c>
      <c r="DM23" s="252">
        <v>0</v>
      </c>
      <c r="DN23" s="252">
        <v>0</v>
      </c>
      <c r="DO23" s="252">
        <v>0</v>
      </c>
      <c r="DP23" s="252">
        <v>0</v>
      </c>
      <c r="DQ23" s="252">
        <v>0</v>
      </c>
      <c r="DR23" s="252">
        <v>0</v>
      </c>
      <c r="DS23" s="252">
        <v>0</v>
      </c>
      <c r="DT23" s="252">
        <v>0</v>
      </c>
      <c r="DU23" s="252">
        <v>0</v>
      </c>
      <c r="DV23" s="252">
        <v>0</v>
      </c>
      <c r="DW23" s="252">
        <v>0</v>
      </c>
      <c r="DX23" s="252">
        <v>0</v>
      </c>
      <c r="DY23" s="252">
        <v>0</v>
      </c>
      <c r="DZ23" s="252">
        <v>0</v>
      </c>
      <c r="EG23" s="252" t="str">
        <f>VLOOKUP(B23,'2022. tervsor'!C:D,2,0)</f>
        <v>Egyéb kommunikációs szolgáltatások</v>
      </c>
    </row>
    <row r="24" spans="1:137" s="252" customFormat="1" x14ac:dyDescent="0.3">
      <c r="A24" s="435"/>
      <c r="B24" s="435">
        <v>96</v>
      </c>
      <c r="C24" s="252">
        <v>445612.565</v>
      </c>
      <c r="D24" s="252">
        <v>4859077.1788038006</v>
      </c>
      <c r="E24" s="252">
        <v>366475.24706020963</v>
      </c>
      <c r="F24" s="252">
        <v>138138.45633087924</v>
      </c>
      <c r="G24" s="252">
        <v>2973858.2457505097</v>
      </c>
      <c r="H24" s="252">
        <v>1467548.1127862476</v>
      </c>
      <c r="I24" s="252">
        <v>14873.798440401157</v>
      </c>
      <c r="J24" s="252">
        <v>50931.491629252429</v>
      </c>
      <c r="K24" s="252">
        <v>64819.478369157878</v>
      </c>
      <c r="L24" s="252">
        <v>339686.88664343487</v>
      </c>
      <c r="M24" s="252">
        <v>7800490.8969061235</v>
      </c>
      <c r="N24" s="252">
        <v>880309.07689999975</v>
      </c>
      <c r="O24" s="252">
        <v>19330.911532807208</v>
      </c>
      <c r="P24" s="252">
        <v>36140.863276527612</v>
      </c>
      <c r="Q24" s="252">
        <v>3686298.7677845526</v>
      </c>
      <c r="R24" s="252">
        <v>1402474.7863000003</v>
      </c>
      <c r="S24" s="252">
        <v>0</v>
      </c>
      <c r="T24" s="252">
        <v>3148327.0356388837</v>
      </c>
      <c r="U24" s="252">
        <v>743735.98810684716</v>
      </c>
      <c r="V24" s="252">
        <v>2995953.443616847</v>
      </c>
      <c r="W24" s="252">
        <v>462208.80616809713</v>
      </c>
      <c r="X24" s="252">
        <v>108185024.16706522</v>
      </c>
      <c r="Y24" s="252">
        <v>785991.22715007549</v>
      </c>
      <c r="Z24" s="252">
        <v>1208122.5274549357</v>
      </c>
      <c r="AA24" s="252">
        <v>3411134.8999765972</v>
      </c>
      <c r="AB24" s="252">
        <v>1447017.7624454782</v>
      </c>
      <c r="AC24" s="252">
        <v>432510.02774908708</v>
      </c>
      <c r="AD24" s="252">
        <v>1639471.9033333338</v>
      </c>
      <c r="AE24" s="252">
        <v>0</v>
      </c>
      <c r="AF24" s="252">
        <v>0</v>
      </c>
      <c r="AG24" s="252">
        <v>0</v>
      </c>
      <c r="AH24" s="252">
        <v>0</v>
      </c>
      <c r="AI24" s="252">
        <v>0</v>
      </c>
      <c r="AJ24" s="252">
        <v>0</v>
      </c>
      <c r="AK24" s="252">
        <v>194199.25000000003</v>
      </c>
      <c r="AL24" s="252">
        <v>1141613.2252535699</v>
      </c>
      <c r="AM24" s="252">
        <v>2296980.8267150139</v>
      </c>
      <c r="AN24" s="252">
        <v>5181021.000553458</v>
      </c>
      <c r="AO24" s="252">
        <v>1261066.3555718802</v>
      </c>
      <c r="AP24" s="252">
        <v>0</v>
      </c>
      <c r="AQ24" s="252">
        <v>3883514.3065773011</v>
      </c>
      <c r="AR24" s="252">
        <v>440134.13576783799</v>
      </c>
      <c r="AS24" s="252">
        <v>1542288.211285647</v>
      </c>
      <c r="AT24" s="252">
        <v>1655049.849374928</v>
      </c>
      <c r="AU24" s="252">
        <v>5133682.7566019185</v>
      </c>
      <c r="AV24" s="252">
        <v>14758189.964679129</v>
      </c>
      <c r="AW24" s="252">
        <v>232455608.95999432</v>
      </c>
      <c r="AX24" s="252">
        <v>47956489.914771214</v>
      </c>
      <c r="AY24" s="252">
        <v>17790707.924220502</v>
      </c>
      <c r="AZ24" s="252">
        <v>3296439.667204828</v>
      </c>
      <c r="BA24" s="252">
        <v>0</v>
      </c>
      <c r="BB24" s="252">
        <v>560048.49250864284</v>
      </c>
      <c r="BC24" s="252">
        <v>2130891.9538558489</v>
      </c>
      <c r="BD24" s="252">
        <v>1817402.1524931889</v>
      </c>
      <c r="BE24" s="252">
        <v>1515689.7064279809</v>
      </c>
      <c r="BF24" s="252">
        <v>0</v>
      </c>
      <c r="BG24" s="252">
        <v>5640337.3032253422</v>
      </c>
      <c r="BH24" s="252">
        <v>541773.03149606299</v>
      </c>
      <c r="BI24" s="252">
        <v>4897720.586649999</v>
      </c>
      <c r="BJ24" s="252">
        <v>41980.033774339143</v>
      </c>
      <c r="BK24" s="252">
        <v>825264.11480644031</v>
      </c>
      <c r="BL24" s="252">
        <v>1880327.1551432526</v>
      </c>
      <c r="BM24" s="252">
        <v>32563.342947020828</v>
      </c>
      <c r="BN24" s="252">
        <v>20990522.362837251</v>
      </c>
      <c r="BO24" s="252">
        <v>277493.17534346209</v>
      </c>
      <c r="BP24" s="252">
        <v>10201647.672629159</v>
      </c>
      <c r="BQ24" s="252">
        <v>2335561.6916805003</v>
      </c>
      <c r="BR24" s="252">
        <v>236466.52641625004</v>
      </c>
      <c r="BS24" s="252">
        <v>811262.08293575014</v>
      </c>
      <c r="BT24" s="252">
        <v>254656.2592175001</v>
      </c>
      <c r="BU24" s="252">
        <v>16671189.55785135</v>
      </c>
      <c r="BV24" s="252">
        <v>4389450</v>
      </c>
      <c r="BW24" s="252">
        <v>1667836.7784379001</v>
      </c>
      <c r="BX24" s="252">
        <v>1656799.9168669288</v>
      </c>
      <c r="BY24" s="252">
        <v>5356747.8287154846</v>
      </c>
      <c r="BZ24" s="252">
        <v>6055672.5020000003</v>
      </c>
      <c r="CA24" s="252">
        <v>585117.8970890987</v>
      </c>
      <c r="CB24" s="252">
        <v>785419.90141551197</v>
      </c>
      <c r="CC24" s="252">
        <v>0</v>
      </c>
      <c r="CD24" s="252">
        <v>67080.701499999966</v>
      </c>
      <c r="CE24" s="252">
        <v>62148.880799999984</v>
      </c>
      <c r="CF24" s="252">
        <v>0</v>
      </c>
      <c r="CG24" s="252">
        <v>0</v>
      </c>
      <c r="CH24" s="252">
        <v>0</v>
      </c>
      <c r="CI24" s="252">
        <v>0</v>
      </c>
      <c r="CJ24" s="252">
        <v>0</v>
      </c>
      <c r="CK24" s="252">
        <v>0</v>
      </c>
      <c r="CL24" s="252">
        <v>701418.60225000011</v>
      </c>
      <c r="CM24" s="252">
        <v>9599727.4920544792</v>
      </c>
      <c r="CN24" s="252">
        <v>260181.14369404636</v>
      </c>
      <c r="CO24" s="252">
        <v>648641.01283056114</v>
      </c>
      <c r="CP24" s="252">
        <v>2364097.1886628941</v>
      </c>
      <c r="CQ24" s="252">
        <v>645742.05858327367</v>
      </c>
      <c r="CR24" s="252">
        <v>1172626.9930277632</v>
      </c>
      <c r="CS24" s="252">
        <v>1022606.1107306391</v>
      </c>
      <c r="CT24" s="252">
        <v>569644.50959197874</v>
      </c>
      <c r="CU24" s="252">
        <v>244236.89533396548</v>
      </c>
      <c r="CV24" s="252">
        <v>319609.70576343848</v>
      </c>
      <c r="CW24" s="252">
        <v>3895497.193520851</v>
      </c>
      <c r="CX24" s="252">
        <v>2186449.5043399013</v>
      </c>
      <c r="CY24" s="252">
        <v>612115.15839999996</v>
      </c>
      <c r="CZ24" s="252">
        <v>2674527.2617563116</v>
      </c>
      <c r="DA24" s="252">
        <v>24148.585900000002</v>
      </c>
      <c r="DB24" s="252">
        <v>49133.37814999999</v>
      </c>
      <c r="DC24" s="252">
        <v>89740.248650000009</v>
      </c>
      <c r="DD24" s="252">
        <v>18786.053199999995</v>
      </c>
      <c r="DE24" s="252">
        <v>50146.867000000013</v>
      </c>
      <c r="DF24" s="252">
        <v>28394.596199999996</v>
      </c>
      <c r="DG24" s="252">
        <v>0</v>
      </c>
      <c r="DH24" s="252">
        <v>2100370.7136079739</v>
      </c>
      <c r="DI24" s="252">
        <v>368519.58884212637</v>
      </c>
      <c r="DJ24" s="252">
        <v>8798643.8620959483</v>
      </c>
      <c r="DK24" s="252">
        <v>452447.82827293931</v>
      </c>
      <c r="DL24" s="252">
        <v>7345569.2138635255</v>
      </c>
      <c r="DM24" s="252">
        <v>3375868.5651444523</v>
      </c>
      <c r="DN24" s="252">
        <v>664480.91666870448</v>
      </c>
      <c r="DO24" s="252">
        <v>79768.177374729057</v>
      </c>
      <c r="DP24" s="252">
        <v>131980.07529273356</v>
      </c>
      <c r="DQ24" s="252">
        <v>55373.40972239204</v>
      </c>
      <c r="DR24" s="252">
        <v>3405430.0336402752</v>
      </c>
      <c r="DS24" s="252">
        <v>503803.65539999987</v>
      </c>
      <c r="DT24" s="252">
        <v>168667.8834645669</v>
      </c>
      <c r="DU24" s="252">
        <v>1186260.2261336304</v>
      </c>
      <c r="DV24" s="252">
        <v>1853041.6292703296</v>
      </c>
      <c r="DW24" s="252">
        <v>2223649.9551243954</v>
      </c>
      <c r="DX24" s="252">
        <v>3570998.791880473</v>
      </c>
      <c r="DY24" s="252">
        <v>4756128.7873909809</v>
      </c>
      <c r="DZ24" s="252">
        <v>2121359.7172468766</v>
      </c>
      <c r="EG24" s="252" t="str">
        <f>VLOOKUP(B24,'2022. tervsor'!C:D,2,0)</f>
        <v>Villamosenergia szolgáltatás díja</v>
      </c>
    </row>
    <row r="25" spans="1:137" s="252" customFormat="1" x14ac:dyDescent="0.3">
      <c r="A25" s="435"/>
      <c r="B25" s="435">
        <v>97</v>
      </c>
      <c r="C25" s="252">
        <v>163539.85100181855</v>
      </c>
      <c r="D25" s="252">
        <v>6917425.871072703</v>
      </c>
      <c r="E25" s="252">
        <v>521717.4500089197</v>
      </c>
      <c r="F25" s="252">
        <v>196655.14591569212</v>
      </c>
      <c r="G25" s="252">
        <v>4568223.96164768</v>
      </c>
      <c r="H25" s="252">
        <v>2254340.2878334108</v>
      </c>
      <c r="I25" s="252">
        <v>22848.043457771055</v>
      </c>
      <c r="J25" s="252">
        <v>78237.239719034202</v>
      </c>
      <c r="K25" s="252">
        <v>155975.21947722282</v>
      </c>
      <c r="L25" s="252">
        <v>817389.12485531939</v>
      </c>
      <c r="M25" s="252">
        <v>18770334.323670339</v>
      </c>
      <c r="N25" s="252">
        <v>1121667.2243074775</v>
      </c>
      <c r="O25" s="252">
        <v>42516.12425151973</v>
      </c>
      <c r="P25" s="252">
        <v>79487.686393591182</v>
      </c>
      <c r="Q25" s="252">
        <v>8107591.6246041814</v>
      </c>
      <c r="R25" s="252">
        <v>3329864.7560975607</v>
      </c>
      <c r="S25" s="252">
        <v>0</v>
      </c>
      <c r="T25" s="252">
        <v>5906391.7823143778</v>
      </c>
      <c r="U25" s="252">
        <v>2444523.4697417933</v>
      </c>
      <c r="V25" s="252">
        <v>9847148.2142706141</v>
      </c>
      <c r="W25" s="252">
        <v>1519195.3766756908</v>
      </c>
      <c r="X25" s="252">
        <v>174243928.17224985</v>
      </c>
      <c r="Y25" s="252">
        <v>1265925.6674571163</v>
      </c>
      <c r="Z25" s="252">
        <v>1945814.7420853446</v>
      </c>
      <c r="AA25" s="252">
        <v>5494009.4442232512</v>
      </c>
      <c r="AB25" s="252">
        <v>2269415.9281324325</v>
      </c>
      <c r="AC25" s="252">
        <v>696605.16128841671</v>
      </c>
      <c r="AD25" s="252">
        <v>0</v>
      </c>
      <c r="AE25" s="252">
        <v>0</v>
      </c>
      <c r="AF25" s="252">
        <v>0</v>
      </c>
      <c r="AG25" s="252">
        <v>0</v>
      </c>
      <c r="AH25" s="252">
        <v>0</v>
      </c>
      <c r="AI25" s="252">
        <v>0</v>
      </c>
      <c r="AJ25" s="252">
        <v>0</v>
      </c>
      <c r="AK25" s="252">
        <v>0</v>
      </c>
      <c r="AL25" s="252">
        <v>2178747.9358597249</v>
      </c>
      <c r="AM25" s="252">
        <v>4383745.846850289</v>
      </c>
      <c r="AN25" s="252">
        <v>10432894.010135816</v>
      </c>
      <c r="AO25" s="252">
        <v>1380724.070359264</v>
      </c>
      <c r="AP25" s="252">
        <v>0</v>
      </c>
      <c r="AQ25" s="252">
        <v>7037465.8315310683</v>
      </c>
      <c r="AR25" s="252">
        <v>1236534.2489418983</v>
      </c>
      <c r="AS25" s="252">
        <v>4332979.5169534292</v>
      </c>
      <c r="AT25" s="252">
        <v>4649777.5476740804</v>
      </c>
      <c r="AU25" s="252">
        <v>9862491.824799357</v>
      </c>
      <c r="AV25" s="252">
        <v>19233.54975694255</v>
      </c>
      <c r="AW25" s="252">
        <v>302946.80661468487</v>
      </c>
      <c r="AX25" s="252">
        <v>62499.096240906787</v>
      </c>
      <c r="AY25" s="252">
        <v>23185.666188785013</v>
      </c>
      <c r="AZ25" s="252">
        <v>4296.0713008630582</v>
      </c>
      <c r="BA25" s="252">
        <v>0</v>
      </c>
      <c r="BB25" s="252">
        <v>0</v>
      </c>
      <c r="BC25" s="252">
        <v>0</v>
      </c>
      <c r="BD25" s="252">
        <v>1118751.8469227091</v>
      </c>
      <c r="BE25" s="252">
        <v>933024.45807155909</v>
      </c>
      <c r="BF25" s="252">
        <v>0</v>
      </c>
      <c r="BG25" s="252">
        <v>2288867.6537629627</v>
      </c>
      <c r="BH25" s="252">
        <v>0</v>
      </c>
      <c r="BI25" s="252">
        <v>862874.31983745191</v>
      </c>
      <c r="BJ25" s="252">
        <v>165349.32548332828</v>
      </c>
      <c r="BK25" s="252">
        <v>3250518.2216468807</v>
      </c>
      <c r="BL25" s="252">
        <v>7406159.5200757263</v>
      </c>
      <c r="BM25" s="252">
        <v>128259.22963081153</v>
      </c>
      <c r="BN25" s="252">
        <v>32382763.806561116</v>
      </c>
      <c r="BO25" s="252">
        <v>428097.77668941062</v>
      </c>
      <c r="BP25" s="252">
        <v>24027182.113721356</v>
      </c>
      <c r="BQ25" s="252">
        <v>4723344.3108207202</v>
      </c>
      <c r="BR25" s="252">
        <v>478220.2183852754</v>
      </c>
      <c r="BS25" s="252">
        <v>1640663.2107679448</v>
      </c>
      <c r="BT25" s="252">
        <v>515006.38903029659</v>
      </c>
      <c r="BU25" s="252">
        <v>9044751.9112866614</v>
      </c>
      <c r="BV25" s="252">
        <v>0</v>
      </c>
      <c r="BW25" s="252">
        <v>3299971.5636567399</v>
      </c>
      <c r="BX25" s="252">
        <v>6163181.324274037</v>
      </c>
      <c r="BY25" s="252">
        <v>8178441.1851048376</v>
      </c>
      <c r="BZ25" s="252">
        <v>30630360.186128613</v>
      </c>
      <c r="CA25" s="252">
        <v>1193405.597884981</v>
      </c>
      <c r="CB25" s="252">
        <v>839514.8466061299</v>
      </c>
      <c r="CC25" s="252">
        <v>0</v>
      </c>
      <c r="CD25" s="252">
        <v>39061.815542939657</v>
      </c>
      <c r="CE25" s="252">
        <v>300027.1692716945</v>
      </c>
      <c r="CF25" s="252">
        <v>1711582.523453061</v>
      </c>
      <c r="CG25" s="252">
        <v>1273966.8051274878</v>
      </c>
      <c r="CH25" s="252">
        <v>3661588.34928736</v>
      </c>
      <c r="CI25" s="252">
        <v>0</v>
      </c>
      <c r="CJ25" s="252">
        <v>0</v>
      </c>
      <c r="CK25" s="252">
        <v>0</v>
      </c>
      <c r="CL25" s="252">
        <v>0</v>
      </c>
      <c r="CM25" s="252">
        <v>269386.95888218872</v>
      </c>
      <c r="CN25" s="252">
        <v>554334.99687560298</v>
      </c>
      <c r="CO25" s="252">
        <v>1381977.2206230212</v>
      </c>
      <c r="CP25" s="252">
        <v>5036882.3392986525</v>
      </c>
      <c r="CQ25" s="252">
        <v>1375800.7861174436</v>
      </c>
      <c r="CR25" s="252">
        <v>2498367.7575061992</v>
      </c>
      <c r="CS25" s="252">
        <v>2178737.2718425505</v>
      </c>
      <c r="CT25" s="252">
        <v>1213669.3803460274</v>
      </c>
      <c r="CU25" s="252">
        <v>520364.60709492525</v>
      </c>
      <c r="CV25" s="252">
        <v>680951.90423994663</v>
      </c>
      <c r="CW25" s="252">
        <v>11087130.888055202</v>
      </c>
      <c r="CX25" s="252">
        <v>8431567.1107436977</v>
      </c>
      <c r="CY25" s="252">
        <v>1264830.49247638</v>
      </c>
      <c r="CZ25" s="252">
        <v>3739641.7021216303</v>
      </c>
      <c r="DA25" s="252">
        <v>116309.04625439664</v>
      </c>
      <c r="DB25" s="252">
        <v>79143.617599839519</v>
      </c>
      <c r="DC25" s="252">
        <v>125511.4002292362</v>
      </c>
      <c r="DD25" s="252">
        <v>64300.595880263158</v>
      </c>
      <c r="DE25" s="252">
        <v>35458.139738125799</v>
      </c>
      <c r="DF25" s="252">
        <v>46222.358907381262</v>
      </c>
      <c r="DG25" s="252">
        <v>0</v>
      </c>
      <c r="DH25" s="252">
        <v>2441850.8650522837</v>
      </c>
      <c r="DI25" s="252">
        <v>428433.833595537</v>
      </c>
      <c r="DJ25" s="252">
        <v>10229135.260146294</v>
      </c>
      <c r="DK25" s="252">
        <v>526007.20134851045</v>
      </c>
      <c r="DL25" s="252">
        <v>8539818.4344146699</v>
      </c>
      <c r="DM25" s="252">
        <v>3924720.2994658519</v>
      </c>
      <c r="DN25" s="252">
        <v>772512.81912563159</v>
      </c>
      <c r="DO25" s="252">
        <v>92736.95908258672</v>
      </c>
      <c r="DP25" s="252">
        <v>153437.51411846172</v>
      </c>
      <c r="DQ25" s="252">
        <v>64376.068260469299</v>
      </c>
      <c r="DR25" s="252">
        <v>0</v>
      </c>
      <c r="DS25" s="252">
        <v>0</v>
      </c>
      <c r="DT25" s="252">
        <v>0</v>
      </c>
      <c r="DU25" s="252">
        <v>6599.9865676988893</v>
      </c>
      <c r="DV25" s="252">
        <v>10309.752947236844</v>
      </c>
      <c r="DW25" s="252">
        <v>12371.703536684212</v>
      </c>
      <c r="DX25" s="252">
        <v>0</v>
      </c>
      <c r="DY25" s="252">
        <v>0</v>
      </c>
      <c r="DZ25" s="252">
        <v>2924628.2943471433</v>
      </c>
      <c r="EG25" s="252" t="str">
        <f>VLOOKUP(B25,'2022. tervsor'!C:D,2,0)</f>
        <v>Gázenergia szolgáltatás díja</v>
      </c>
    </row>
    <row r="26" spans="1:137" s="252" customFormat="1" x14ac:dyDescent="0.3">
      <c r="A26" s="435"/>
      <c r="B26" s="435">
        <v>98</v>
      </c>
      <c r="C26" s="252">
        <v>0</v>
      </c>
      <c r="D26" s="252">
        <v>0</v>
      </c>
      <c r="E26" s="252">
        <v>0</v>
      </c>
      <c r="F26" s="252">
        <v>0</v>
      </c>
      <c r="G26" s="252">
        <v>0</v>
      </c>
      <c r="H26" s="252">
        <v>0</v>
      </c>
      <c r="I26" s="252">
        <v>0</v>
      </c>
      <c r="J26" s="252">
        <v>0</v>
      </c>
      <c r="K26" s="252">
        <v>0</v>
      </c>
      <c r="L26" s="252">
        <v>0</v>
      </c>
      <c r="M26" s="252">
        <v>0</v>
      </c>
      <c r="N26" s="252">
        <v>0</v>
      </c>
      <c r="O26" s="252">
        <v>0</v>
      </c>
      <c r="P26" s="252">
        <v>0</v>
      </c>
      <c r="Q26" s="252">
        <v>0</v>
      </c>
      <c r="R26" s="252">
        <v>0</v>
      </c>
      <c r="S26" s="252">
        <v>0</v>
      </c>
      <c r="T26" s="252">
        <v>0</v>
      </c>
      <c r="U26" s="252">
        <v>0</v>
      </c>
      <c r="V26" s="252">
        <v>0</v>
      </c>
      <c r="W26" s="252">
        <v>0</v>
      </c>
      <c r="X26" s="252">
        <v>0</v>
      </c>
      <c r="Y26" s="252">
        <v>0</v>
      </c>
      <c r="Z26" s="252">
        <v>0</v>
      </c>
      <c r="AA26" s="252">
        <v>0</v>
      </c>
      <c r="AB26" s="252">
        <v>0</v>
      </c>
      <c r="AC26" s="252">
        <v>0</v>
      </c>
      <c r="AD26" s="252">
        <v>0</v>
      </c>
      <c r="AE26" s="252">
        <v>0</v>
      </c>
      <c r="AF26" s="252">
        <v>0</v>
      </c>
      <c r="AG26" s="252">
        <v>0</v>
      </c>
      <c r="AH26" s="252">
        <v>0</v>
      </c>
      <c r="AI26" s="252">
        <v>0</v>
      </c>
      <c r="AJ26" s="252">
        <v>0</v>
      </c>
      <c r="AK26" s="252">
        <v>0</v>
      </c>
      <c r="AL26" s="252">
        <v>0</v>
      </c>
      <c r="AM26" s="252">
        <v>0</v>
      </c>
      <c r="AN26" s="252">
        <v>0</v>
      </c>
      <c r="AO26" s="252">
        <v>0</v>
      </c>
      <c r="AP26" s="252">
        <v>0</v>
      </c>
      <c r="AQ26" s="252">
        <v>0</v>
      </c>
      <c r="AR26" s="252">
        <v>0</v>
      </c>
      <c r="AS26" s="252">
        <v>0</v>
      </c>
      <c r="AT26" s="252">
        <v>0</v>
      </c>
      <c r="AU26" s="252">
        <v>0</v>
      </c>
      <c r="AV26" s="252">
        <v>9022162.0412323121</v>
      </c>
      <c r="AW26" s="252">
        <v>142107682.3411116</v>
      </c>
      <c r="AX26" s="252">
        <v>29317363.712982684</v>
      </c>
      <c r="AY26" s="252">
        <v>10876039.006457048</v>
      </c>
      <c r="AZ26" s="252">
        <v>2015220.8982163284</v>
      </c>
      <c r="BA26" s="252">
        <v>0</v>
      </c>
      <c r="BB26" s="252">
        <v>995293.26267768897</v>
      </c>
      <c r="BC26" s="252">
        <v>3786926.3707268946</v>
      </c>
      <c r="BD26" s="252">
        <v>0</v>
      </c>
      <c r="BE26" s="252">
        <v>0</v>
      </c>
      <c r="BF26" s="252">
        <v>0</v>
      </c>
      <c r="BG26" s="252">
        <v>10608547.912467591</v>
      </c>
      <c r="BH26" s="252">
        <v>2168151.5</v>
      </c>
      <c r="BI26" s="252">
        <v>0</v>
      </c>
      <c r="BJ26" s="252">
        <v>0</v>
      </c>
      <c r="BK26" s="252">
        <v>0</v>
      </c>
      <c r="BL26" s="252">
        <v>0</v>
      </c>
      <c r="BM26" s="252">
        <v>0</v>
      </c>
      <c r="BN26" s="252">
        <v>0</v>
      </c>
      <c r="BO26" s="252">
        <v>0</v>
      </c>
      <c r="BP26" s="252">
        <v>0</v>
      </c>
      <c r="BQ26" s="252">
        <v>0</v>
      </c>
      <c r="BR26" s="252">
        <v>0</v>
      </c>
      <c r="BS26" s="252">
        <v>0</v>
      </c>
      <c r="BT26" s="252">
        <v>0</v>
      </c>
      <c r="BU26" s="252">
        <v>0</v>
      </c>
      <c r="BV26" s="252">
        <v>4499711.8188976375</v>
      </c>
      <c r="BW26" s="252">
        <v>0</v>
      </c>
      <c r="BX26" s="252">
        <v>0</v>
      </c>
      <c r="BY26" s="252">
        <v>0</v>
      </c>
      <c r="BZ26" s="252">
        <v>0</v>
      </c>
      <c r="CA26" s="252">
        <v>0</v>
      </c>
      <c r="CB26" s="252">
        <v>0</v>
      </c>
      <c r="CC26" s="252">
        <v>0</v>
      </c>
      <c r="CD26" s="252">
        <v>0</v>
      </c>
      <c r="CE26" s="252">
        <v>0</v>
      </c>
      <c r="CF26" s="252">
        <v>0</v>
      </c>
      <c r="CG26" s="252">
        <v>0</v>
      </c>
      <c r="CH26" s="252">
        <v>0</v>
      </c>
      <c r="CI26" s="252">
        <v>0</v>
      </c>
      <c r="CJ26" s="252">
        <v>0</v>
      </c>
      <c r="CK26" s="252">
        <v>0</v>
      </c>
      <c r="CL26" s="252">
        <v>0</v>
      </c>
      <c r="CM26" s="252">
        <v>11491212.999999998</v>
      </c>
      <c r="CN26" s="252">
        <v>0</v>
      </c>
      <c r="CO26" s="252">
        <v>0</v>
      </c>
      <c r="CP26" s="252">
        <v>0</v>
      </c>
      <c r="CQ26" s="252">
        <v>0</v>
      </c>
      <c r="CR26" s="252">
        <v>0</v>
      </c>
      <c r="CS26" s="252">
        <v>0</v>
      </c>
      <c r="CT26" s="252">
        <v>0</v>
      </c>
      <c r="CU26" s="252">
        <v>0</v>
      </c>
      <c r="CV26" s="252">
        <v>0</v>
      </c>
      <c r="CW26" s="252">
        <v>0</v>
      </c>
      <c r="CX26" s="252">
        <v>0</v>
      </c>
      <c r="CY26" s="252">
        <v>0</v>
      </c>
      <c r="CZ26" s="252">
        <v>0</v>
      </c>
      <c r="DA26" s="252">
        <v>0</v>
      </c>
      <c r="DB26" s="252">
        <v>0</v>
      </c>
      <c r="DC26" s="252">
        <v>0</v>
      </c>
      <c r="DD26" s="252">
        <v>85323.511199999994</v>
      </c>
      <c r="DE26" s="252">
        <v>120121.89600000001</v>
      </c>
      <c r="DF26" s="252">
        <v>0</v>
      </c>
      <c r="DG26" s="252">
        <v>0</v>
      </c>
      <c r="DH26" s="252">
        <v>0</v>
      </c>
      <c r="DI26" s="252">
        <v>0</v>
      </c>
      <c r="DJ26" s="252">
        <v>0</v>
      </c>
      <c r="DK26" s="252">
        <v>0</v>
      </c>
      <c r="DL26" s="252">
        <v>0</v>
      </c>
      <c r="DM26" s="252">
        <v>0</v>
      </c>
      <c r="DN26" s="252">
        <v>0</v>
      </c>
      <c r="DO26" s="252">
        <v>0</v>
      </c>
      <c r="DP26" s="252">
        <v>0</v>
      </c>
      <c r="DQ26" s="252">
        <v>0</v>
      </c>
      <c r="DR26" s="252">
        <v>14891626.866666665</v>
      </c>
      <c r="DS26" s="252">
        <v>7144051.4285714282</v>
      </c>
      <c r="DT26" s="252">
        <v>0</v>
      </c>
      <c r="DU26" s="252">
        <v>3929778.8541653431</v>
      </c>
      <c r="DV26" s="252">
        <v>6138656.3000000017</v>
      </c>
      <c r="DW26" s="252">
        <v>7366387.5600000015</v>
      </c>
      <c r="DX26" s="252">
        <v>11363895.393338835</v>
      </c>
      <c r="DY26" s="252">
        <v>7968456.3823286546</v>
      </c>
      <c r="DZ26" s="252">
        <v>0</v>
      </c>
      <c r="EG26" s="252" t="str">
        <f>VLOOKUP(B26,'2022. tervsor'!C:D,2,0)</f>
        <v>Távhő és melegvíz szolgáltatás díja</v>
      </c>
    </row>
    <row r="27" spans="1:137" s="252" customFormat="1" x14ac:dyDescent="0.3">
      <c r="A27" s="435"/>
      <c r="B27" s="435">
        <v>99</v>
      </c>
      <c r="C27" s="252">
        <v>127799.43307086614</v>
      </c>
      <c r="D27" s="252">
        <v>491566.10117155063</v>
      </c>
      <c r="E27" s="252">
        <v>37074.284219872432</v>
      </c>
      <c r="F27" s="252">
        <v>13974.707521962708</v>
      </c>
      <c r="G27" s="252">
        <v>335531.55405354331</v>
      </c>
      <c r="H27" s="252">
        <v>165579.07547716537</v>
      </c>
      <c r="I27" s="252">
        <v>1678.1663055118113</v>
      </c>
      <c r="J27" s="252">
        <v>5746.4482582677165</v>
      </c>
      <c r="K27" s="252">
        <v>8514.4242292913386</v>
      </c>
      <c r="L27" s="252">
        <v>44619.894062362204</v>
      </c>
      <c r="M27" s="252">
        <v>1024640.9006059841</v>
      </c>
      <c r="N27" s="252">
        <v>50853.524409448823</v>
      </c>
      <c r="O27" s="252">
        <v>1361.7521390432898</v>
      </c>
      <c r="P27" s="252">
        <v>2545.917081569492</v>
      </c>
      <c r="Q27" s="252">
        <v>259678.66148804862</v>
      </c>
      <c r="R27" s="252">
        <v>578824.9322834647</v>
      </c>
      <c r="S27" s="252">
        <v>0</v>
      </c>
      <c r="T27" s="252">
        <v>624619.72913385823</v>
      </c>
      <c r="U27" s="252">
        <v>350429.24046614167</v>
      </c>
      <c r="V27" s="252">
        <v>1411616.0929511809</v>
      </c>
      <c r="W27" s="252">
        <v>217780.88390551182</v>
      </c>
      <c r="X27" s="252">
        <v>4192937.0193327358</v>
      </c>
      <c r="Y27" s="252">
        <v>30462.734916979389</v>
      </c>
      <c r="Z27" s="252">
        <v>46823.316889342117</v>
      </c>
      <c r="AA27" s="252">
        <v>132205.67181241995</v>
      </c>
      <c r="AB27" s="252">
        <v>0</v>
      </c>
      <c r="AC27" s="252">
        <v>16762.831274884131</v>
      </c>
      <c r="AD27" s="252">
        <v>372748.34645669296</v>
      </c>
      <c r="AE27" s="252">
        <v>0</v>
      </c>
      <c r="AF27" s="252">
        <v>0</v>
      </c>
      <c r="AG27" s="252">
        <v>0</v>
      </c>
      <c r="AH27" s="252">
        <v>0</v>
      </c>
      <c r="AI27" s="252">
        <v>0</v>
      </c>
      <c r="AJ27" s="252">
        <v>0</v>
      </c>
      <c r="AK27" s="252">
        <v>0</v>
      </c>
      <c r="AL27" s="252">
        <v>192877.03438110239</v>
      </c>
      <c r="AM27" s="252">
        <v>388077.88845354324</v>
      </c>
      <c r="AN27" s="252">
        <v>843476.2582677165</v>
      </c>
      <c r="AO27" s="252">
        <v>0</v>
      </c>
      <c r="AP27" s="252">
        <v>0</v>
      </c>
      <c r="AQ27" s="252">
        <v>1415378.7212598426</v>
      </c>
      <c r="AR27" s="252">
        <v>98581.28768503938</v>
      </c>
      <c r="AS27" s="252">
        <v>345441.86759055121</v>
      </c>
      <c r="AT27" s="252">
        <v>370698.23055118113</v>
      </c>
      <c r="AU27" s="252">
        <v>922285.9086614172</v>
      </c>
      <c r="AV27" s="252">
        <v>1525671.6120179256</v>
      </c>
      <c r="AW27" s="252">
        <v>24030787.277666941</v>
      </c>
      <c r="AX27" s="252">
        <v>4957644.2267038645</v>
      </c>
      <c r="AY27" s="252">
        <v>1839167.140594244</v>
      </c>
      <c r="AZ27" s="252">
        <v>340779.21703276911</v>
      </c>
      <c r="BA27" s="252">
        <v>0</v>
      </c>
      <c r="BB27" s="252">
        <v>240982.02633159154</v>
      </c>
      <c r="BC27" s="252">
        <v>916896.78269412031</v>
      </c>
      <c r="BD27" s="252">
        <v>263803.89134607388</v>
      </c>
      <c r="BE27" s="252">
        <v>220009.0068564988</v>
      </c>
      <c r="BF27" s="252">
        <v>0</v>
      </c>
      <c r="BG27" s="252">
        <v>1052103.3626967345</v>
      </c>
      <c r="BH27" s="252">
        <v>54314.759055118113</v>
      </c>
      <c r="BI27" s="252">
        <v>279451.18110236223</v>
      </c>
      <c r="BJ27" s="252">
        <v>26622.805148976386</v>
      </c>
      <c r="BK27" s="252">
        <v>523364.17457492166</v>
      </c>
      <c r="BL27" s="252">
        <v>1192461.7244664414</v>
      </c>
      <c r="BM27" s="252">
        <v>20650.948947252899</v>
      </c>
      <c r="BN27" s="252">
        <v>14628969.839562252</v>
      </c>
      <c r="BO27" s="252">
        <v>193393.9147684536</v>
      </c>
      <c r="BP27" s="252">
        <v>6388374.1606299207</v>
      </c>
      <c r="BQ27" s="252">
        <v>841667.89628976397</v>
      </c>
      <c r="BR27" s="252">
        <v>85215.596976377943</v>
      </c>
      <c r="BS27" s="252">
        <v>292355.04808818898</v>
      </c>
      <c r="BT27" s="252">
        <v>91770.642897637808</v>
      </c>
      <c r="BU27" s="252">
        <v>361565.89606299211</v>
      </c>
      <c r="BV27" s="252">
        <v>676092</v>
      </c>
      <c r="BW27" s="252">
        <v>1494584.368</v>
      </c>
      <c r="BX27" s="252">
        <v>2633566.8425196847</v>
      </c>
      <c r="BY27" s="252">
        <v>2348856.2980591203</v>
      </c>
      <c r="BZ27" s="252">
        <v>8779400.5417322833</v>
      </c>
      <c r="CA27" s="252">
        <v>72888.976377952757</v>
      </c>
      <c r="CB27" s="252">
        <v>31992.000000000004</v>
      </c>
      <c r="CC27" s="252">
        <v>0</v>
      </c>
      <c r="CD27" s="252">
        <v>19901.968503937009</v>
      </c>
      <c r="CE27" s="252">
        <v>8952.0000000000018</v>
      </c>
      <c r="CF27" s="252">
        <v>17139.212673167669</v>
      </c>
      <c r="CG27" s="252">
        <v>12757.075812847756</v>
      </c>
      <c r="CH27" s="252">
        <v>36665.91623839402</v>
      </c>
      <c r="CI27" s="252">
        <v>0</v>
      </c>
      <c r="CJ27" s="252">
        <v>0</v>
      </c>
      <c r="CK27" s="252">
        <v>0</v>
      </c>
      <c r="CL27" s="252">
        <v>322724.82677165361</v>
      </c>
      <c r="CM27" s="252">
        <v>661362.06614173227</v>
      </c>
      <c r="CN27" s="252">
        <v>111708.92032251973</v>
      </c>
      <c r="CO27" s="252">
        <v>278494.38353385834</v>
      </c>
      <c r="CP27" s="252">
        <v>1015026.4570809449</v>
      </c>
      <c r="CQ27" s="252">
        <v>277249.71589795285</v>
      </c>
      <c r="CR27" s="252">
        <v>503468.05872377963</v>
      </c>
      <c r="CS27" s="252">
        <v>439056.50856566947</v>
      </c>
      <c r="CT27" s="252">
        <v>244577.19045543307</v>
      </c>
      <c r="CU27" s="252">
        <v>104863.2483250394</v>
      </c>
      <c r="CV27" s="252">
        <v>137224.60685858267</v>
      </c>
      <c r="CW27" s="252">
        <v>1233264.5291338582</v>
      </c>
      <c r="CX27" s="252">
        <v>649158.91653543303</v>
      </c>
      <c r="CY27" s="252">
        <v>545277.58110236225</v>
      </c>
      <c r="CZ27" s="252">
        <v>287548.72440944886</v>
      </c>
      <c r="DA27" s="252">
        <v>41365.341732283465</v>
      </c>
      <c r="DB27" s="252">
        <v>56807.773228346443</v>
      </c>
      <c r="DC27" s="252">
        <v>82367.659842519686</v>
      </c>
      <c r="DD27" s="252">
        <v>0</v>
      </c>
      <c r="DE27" s="252">
        <v>0</v>
      </c>
      <c r="DF27" s="252">
        <v>0</v>
      </c>
      <c r="DG27" s="252">
        <v>0</v>
      </c>
      <c r="DH27" s="252">
        <v>246110.79966815922</v>
      </c>
      <c r="DI27" s="252">
        <v>43181.258487231571</v>
      </c>
      <c r="DJ27" s="252">
        <v>1030980.5135189795</v>
      </c>
      <c r="DK27" s="252">
        <v>53015.544400300823</v>
      </c>
      <c r="DL27" s="252">
        <v>860716.58756673522</v>
      </c>
      <c r="DM27" s="252">
        <v>395567.17619391403</v>
      </c>
      <c r="DN27" s="252">
        <v>77860.50753138127</v>
      </c>
      <c r="DO27" s="252">
        <v>9346.8309163590529</v>
      </c>
      <c r="DP27" s="252">
        <v>15464.756607066796</v>
      </c>
      <c r="DQ27" s="252">
        <v>6488.3756276151062</v>
      </c>
      <c r="DR27" s="252">
        <v>810407.99999999988</v>
      </c>
      <c r="DS27" s="252">
        <v>0</v>
      </c>
      <c r="DT27" s="252">
        <v>251940.53543307091</v>
      </c>
      <c r="DU27" s="252">
        <v>526916.50438348192</v>
      </c>
      <c r="DV27" s="252">
        <v>823089.39999999991</v>
      </c>
      <c r="DW27" s="252">
        <v>987707.27999999991</v>
      </c>
      <c r="DX27" s="252">
        <v>2237936</v>
      </c>
      <c r="DY27" s="252">
        <v>3152504</v>
      </c>
      <c r="DZ27" s="252">
        <v>1830423.9999999995</v>
      </c>
      <c r="EG27" s="252" t="str">
        <f>VLOOKUP(B27,'2022. tervsor'!C:D,2,0)</f>
        <v>Víz- és csatornadíjak</v>
      </c>
    </row>
    <row r="28" spans="1:137" s="252" customFormat="1" x14ac:dyDescent="0.3">
      <c r="A28" s="435"/>
      <c r="B28" s="435">
        <v>100</v>
      </c>
      <c r="C28" s="252">
        <v>39421.43386740001</v>
      </c>
      <c r="D28" s="252">
        <v>487475.07894669601</v>
      </c>
      <c r="E28" s="252">
        <v>36765.736253784868</v>
      </c>
      <c r="F28" s="252">
        <v>13858.404060593146</v>
      </c>
      <c r="G28" s="252">
        <v>302502.56183989963</v>
      </c>
      <c r="H28" s="252">
        <v>149279.83348752852</v>
      </c>
      <c r="I28" s="252">
        <v>1512.971285346573</v>
      </c>
      <c r="J28" s="252">
        <v>5180.780461944325</v>
      </c>
      <c r="K28" s="252">
        <v>6077.249859776789</v>
      </c>
      <c r="L28" s="252">
        <v>31847.86635376696</v>
      </c>
      <c r="M28" s="252">
        <v>731347.01793541666</v>
      </c>
      <c r="N28" s="252">
        <v>77757.113216049009</v>
      </c>
      <c r="O28" s="252">
        <v>1797.8489495848073</v>
      </c>
      <c r="P28" s="252">
        <v>3361.2389652976494</v>
      </c>
      <c r="Q28" s="252">
        <v>342839.93055731524</v>
      </c>
      <c r="R28" s="252">
        <v>123969.63541804801</v>
      </c>
      <c r="S28" s="252">
        <v>0</v>
      </c>
      <c r="T28" s="252">
        <v>303067.96385570097</v>
      </c>
      <c r="U28" s="252">
        <v>64930.098335343391</v>
      </c>
      <c r="V28" s="252">
        <v>261554.57691016857</v>
      </c>
      <c r="W28" s="252">
        <v>40352.038513490246</v>
      </c>
      <c r="X28" s="252">
        <v>10606134.773369759</v>
      </c>
      <c r="Y28" s="252">
        <v>77056.218732886453</v>
      </c>
      <c r="Z28" s="252">
        <v>118440.70330052183</v>
      </c>
      <c r="AA28" s="252">
        <v>334417.41828728019</v>
      </c>
      <c r="AB28" s="252">
        <v>141861.27447969696</v>
      </c>
      <c r="AC28" s="252">
        <v>42401.983827787619</v>
      </c>
      <c r="AD28" s="252">
        <v>125347.34396683336</v>
      </c>
      <c r="AE28" s="252">
        <v>0</v>
      </c>
      <c r="AF28" s="252">
        <v>0</v>
      </c>
      <c r="AG28" s="252">
        <v>0</v>
      </c>
      <c r="AH28" s="252">
        <v>0</v>
      </c>
      <c r="AI28" s="252">
        <v>0</v>
      </c>
      <c r="AJ28" s="252">
        <v>0</v>
      </c>
      <c r="AK28" s="252">
        <v>0</v>
      </c>
      <c r="AL28" s="252">
        <v>71855.321236223259</v>
      </c>
      <c r="AM28" s="252">
        <v>144576.36923432868</v>
      </c>
      <c r="AN28" s="252">
        <v>533834.83901951404</v>
      </c>
      <c r="AO28" s="252">
        <v>79362.466498033013</v>
      </c>
      <c r="AP28" s="252">
        <v>0</v>
      </c>
      <c r="AQ28" s="252">
        <v>408238.02795859304</v>
      </c>
      <c r="AR28" s="252">
        <v>37308.632693576074</v>
      </c>
      <c r="AS28" s="252">
        <v>130734.38233120872</v>
      </c>
      <c r="AT28" s="252">
        <v>140292.79236014144</v>
      </c>
      <c r="AU28" s="252">
        <v>551554.89173146652</v>
      </c>
      <c r="AV28" s="252">
        <v>1731012.6488089205</v>
      </c>
      <c r="AW28" s="252">
        <v>27265105.027063455</v>
      </c>
      <c r="AX28" s="252">
        <v>5624896.4699345008</v>
      </c>
      <c r="AY28" s="252">
        <v>2086701.7243845556</v>
      </c>
      <c r="AZ28" s="252">
        <v>386644.89165837131</v>
      </c>
      <c r="BA28" s="252">
        <v>0</v>
      </c>
      <c r="BB28" s="252">
        <v>49573.221170699864</v>
      </c>
      <c r="BC28" s="252">
        <v>188617.91350635694</v>
      </c>
      <c r="BD28" s="252">
        <v>166032.30656245735</v>
      </c>
      <c r="BE28" s="252">
        <v>138468.77954116135</v>
      </c>
      <c r="BF28" s="252">
        <v>0</v>
      </c>
      <c r="BG28" s="252">
        <v>431751.98452936223</v>
      </c>
      <c r="BH28" s="252">
        <v>0</v>
      </c>
      <c r="BI28" s="252">
        <v>433327.72810798528</v>
      </c>
      <c r="BJ28" s="252">
        <v>4033.6122791925641</v>
      </c>
      <c r="BK28" s="252">
        <v>79294.730560579264</v>
      </c>
      <c r="BL28" s="252">
        <v>180669.47593837287</v>
      </c>
      <c r="BM28" s="252">
        <v>3128.8183489492553</v>
      </c>
      <c r="BN28" s="252">
        <v>2271528.4211756266</v>
      </c>
      <c r="BO28" s="252">
        <v>30029.440124411682</v>
      </c>
      <c r="BP28" s="252">
        <v>1081443.6662466626</v>
      </c>
      <c r="BQ28" s="252">
        <v>218282.38362575902</v>
      </c>
      <c r="BR28" s="252">
        <v>22100.24133282607</v>
      </c>
      <c r="BS28" s="252">
        <v>75820.82795723404</v>
      </c>
      <c r="BT28" s="252">
        <v>23800.259896889616</v>
      </c>
      <c r="BU28" s="252">
        <v>1451774.5463200554</v>
      </c>
      <c r="BV28" s="252">
        <v>0</v>
      </c>
      <c r="BW28" s="252">
        <v>138975.56628818053</v>
      </c>
      <c r="BX28" s="252">
        <v>145407.38100043501</v>
      </c>
      <c r="BY28" s="252">
        <v>276846.10222232592</v>
      </c>
      <c r="BZ28" s="252">
        <v>535475.84794729506</v>
      </c>
      <c r="CA28" s="252">
        <v>23956.862835819244</v>
      </c>
      <c r="CB28" s="252">
        <v>74567.011449705766</v>
      </c>
      <c r="CC28" s="252">
        <v>0</v>
      </c>
      <c r="CD28" s="252">
        <v>5805.8985649024999</v>
      </c>
      <c r="CE28" s="252">
        <v>5236.7259841555015</v>
      </c>
      <c r="CF28" s="252">
        <v>0</v>
      </c>
      <c r="CG28" s="252">
        <v>0</v>
      </c>
      <c r="CH28" s="252">
        <v>0</v>
      </c>
      <c r="CI28" s="252">
        <v>0</v>
      </c>
      <c r="CJ28" s="252">
        <v>0</v>
      </c>
      <c r="CK28" s="252">
        <v>0</v>
      </c>
      <c r="CL28" s="252">
        <v>63281.303729876257</v>
      </c>
      <c r="CM28" s="252">
        <v>761710.86780084099</v>
      </c>
      <c r="CN28" s="252">
        <v>24899.785965311432</v>
      </c>
      <c r="CO28" s="252">
        <v>62076.068075080038</v>
      </c>
      <c r="CP28" s="252">
        <v>226248.19448146483</v>
      </c>
      <c r="CQ28" s="252">
        <v>61798.63313396235</v>
      </c>
      <c r="CR28" s="252">
        <v>112222.43368209997</v>
      </c>
      <c r="CS28" s="252">
        <v>97865.175479260259</v>
      </c>
      <c r="CT28" s="252">
        <v>54515.965929623351</v>
      </c>
      <c r="CU28" s="252">
        <v>23373.893789164205</v>
      </c>
      <c r="CV28" s="252">
        <v>30587.202258223788</v>
      </c>
      <c r="CW28" s="252">
        <v>332797.05131246633</v>
      </c>
      <c r="CX28" s="252">
        <v>191156.17309735296</v>
      </c>
      <c r="CY28" s="252">
        <v>54034.645712639009</v>
      </c>
      <c r="CZ28" s="252">
        <v>177331.55513225085</v>
      </c>
      <c r="DA28" s="252">
        <v>2006.7045636765001</v>
      </c>
      <c r="DB28" s="252">
        <v>4217.9569519427487</v>
      </c>
      <c r="DC28" s="252">
        <v>7811.8685311977488</v>
      </c>
      <c r="DD28" s="252">
        <v>1532.3113694970002</v>
      </c>
      <c r="DE28" s="252">
        <v>4306.4383902950003</v>
      </c>
      <c r="DF28" s="252">
        <v>2382.7465955769999</v>
      </c>
      <c r="DG28" s="252">
        <v>0</v>
      </c>
      <c r="DH28" s="252">
        <v>230570.77352508553</v>
      </c>
      <c r="DI28" s="252">
        <v>40454.69026394681</v>
      </c>
      <c r="DJ28" s="252">
        <v>965881.93127599452</v>
      </c>
      <c r="DK28" s="252">
        <v>49668.015778717345</v>
      </c>
      <c r="DL28" s="252">
        <v>806368.87795545824</v>
      </c>
      <c r="DM28" s="252">
        <v>370590.11599304643</v>
      </c>
      <c r="DN28" s="252">
        <v>72944.208351572495</v>
      </c>
      <c r="DO28" s="252">
        <v>8756.6495956248309</v>
      </c>
      <c r="DP28" s="252">
        <v>14488.27478548836</v>
      </c>
      <c r="DQ28" s="252">
        <v>6078.6840292977085</v>
      </c>
      <c r="DR28" s="252">
        <v>267961.49623797298</v>
      </c>
      <c r="DS28" s="252">
        <v>44468.620667684001</v>
      </c>
      <c r="DT28" s="252">
        <v>484.71673604399996</v>
      </c>
      <c r="DU28" s="252">
        <v>101699.82878935698</v>
      </c>
      <c r="DV28" s="252">
        <v>158863.97628838196</v>
      </c>
      <c r="DW28" s="252">
        <v>190636.77154605833</v>
      </c>
      <c r="DX28" s="252">
        <v>323829.24319627427</v>
      </c>
      <c r="DY28" s="252">
        <v>352217.76552443497</v>
      </c>
      <c r="DZ28" s="252">
        <v>146251.29300176949</v>
      </c>
      <c r="EG28" s="252" t="str">
        <f>VLOOKUP(B28,'2022. tervsor'!C:D,2,0)</f>
        <v>ÁFA mentes villamosenergia szolgáltatás díja</v>
      </c>
    </row>
    <row r="29" spans="1:137" s="252" customFormat="1" x14ac:dyDescent="0.3">
      <c r="A29" s="435"/>
      <c r="B29" s="435">
        <v>104</v>
      </c>
      <c r="C29" s="252">
        <v>0</v>
      </c>
      <c r="D29" s="252">
        <v>0</v>
      </c>
      <c r="E29" s="252">
        <v>0</v>
      </c>
      <c r="F29" s="252">
        <v>0</v>
      </c>
      <c r="G29" s="252">
        <v>0</v>
      </c>
      <c r="H29" s="252">
        <v>0</v>
      </c>
      <c r="I29" s="252">
        <v>0</v>
      </c>
      <c r="J29" s="252">
        <v>0</v>
      </c>
      <c r="K29" s="252">
        <v>0</v>
      </c>
      <c r="L29" s="252">
        <v>0</v>
      </c>
      <c r="M29" s="252">
        <v>0</v>
      </c>
      <c r="N29" s="252">
        <v>0</v>
      </c>
      <c r="O29" s="252">
        <v>0</v>
      </c>
      <c r="P29" s="252">
        <v>0</v>
      </c>
      <c r="Q29" s="252">
        <v>0</v>
      </c>
      <c r="R29" s="252">
        <v>0</v>
      </c>
      <c r="S29" s="252">
        <v>0</v>
      </c>
      <c r="T29" s="252">
        <v>0</v>
      </c>
      <c r="U29" s="252">
        <v>0</v>
      </c>
      <c r="V29" s="252">
        <v>0</v>
      </c>
      <c r="W29" s="252">
        <v>0</v>
      </c>
      <c r="X29" s="252">
        <v>0</v>
      </c>
      <c r="Y29" s="252">
        <v>0</v>
      </c>
      <c r="Z29" s="252">
        <v>0</v>
      </c>
      <c r="AA29" s="252">
        <v>0</v>
      </c>
      <c r="AB29" s="252">
        <v>0</v>
      </c>
      <c r="AC29" s="252">
        <v>0</v>
      </c>
      <c r="AD29" s="252">
        <v>0</v>
      </c>
      <c r="AE29" s="252">
        <v>417291181.05038416</v>
      </c>
      <c r="AF29" s="252">
        <v>2504183.4668743447</v>
      </c>
      <c r="AG29" s="252">
        <v>4145989.4045393895</v>
      </c>
      <c r="AH29" s="252">
        <v>12454385.100102047</v>
      </c>
      <c r="AI29" s="252">
        <v>9524642.8347116262</v>
      </c>
      <c r="AJ29" s="252">
        <v>1589268.7686955186</v>
      </c>
      <c r="AK29" s="252">
        <v>0</v>
      </c>
      <c r="AL29" s="252">
        <v>0</v>
      </c>
      <c r="AM29" s="252">
        <v>0</v>
      </c>
      <c r="AN29" s="252">
        <v>0</v>
      </c>
      <c r="AO29" s="252">
        <v>0</v>
      </c>
      <c r="AP29" s="252">
        <v>0</v>
      </c>
      <c r="AQ29" s="252">
        <v>0</v>
      </c>
      <c r="AR29" s="252">
        <v>0</v>
      </c>
      <c r="AS29" s="252">
        <v>0</v>
      </c>
      <c r="AT29" s="252">
        <v>0</v>
      </c>
      <c r="AU29" s="252">
        <v>0</v>
      </c>
      <c r="AV29" s="252">
        <v>0</v>
      </c>
      <c r="AW29" s="252">
        <v>0</v>
      </c>
      <c r="AX29" s="252">
        <v>0</v>
      </c>
      <c r="AY29" s="252">
        <v>0</v>
      </c>
      <c r="AZ29" s="252">
        <v>0</v>
      </c>
      <c r="BA29" s="252">
        <v>0</v>
      </c>
      <c r="BB29" s="252">
        <v>0</v>
      </c>
      <c r="BC29" s="252">
        <v>0</v>
      </c>
      <c r="BD29" s="252">
        <v>0</v>
      </c>
      <c r="BE29" s="252">
        <v>0</v>
      </c>
      <c r="BF29" s="252">
        <v>0</v>
      </c>
      <c r="BG29" s="252">
        <v>0</v>
      </c>
      <c r="BH29" s="252">
        <v>0</v>
      </c>
      <c r="BI29" s="252">
        <v>0</v>
      </c>
      <c r="BJ29" s="252">
        <v>0</v>
      </c>
      <c r="BK29" s="252">
        <v>0</v>
      </c>
      <c r="BL29" s="252">
        <v>0</v>
      </c>
      <c r="BM29" s="252">
        <v>0</v>
      </c>
      <c r="BN29" s="252">
        <v>0</v>
      </c>
      <c r="BO29" s="252">
        <v>0</v>
      </c>
      <c r="BP29" s="252">
        <v>0</v>
      </c>
      <c r="BQ29" s="252">
        <v>0</v>
      </c>
      <c r="BR29" s="252">
        <v>0</v>
      </c>
      <c r="BS29" s="252">
        <v>0</v>
      </c>
      <c r="BT29" s="252">
        <v>0</v>
      </c>
      <c r="BU29" s="252">
        <v>0</v>
      </c>
      <c r="BV29" s="252">
        <v>0</v>
      </c>
      <c r="BW29" s="252">
        <v>0</v>
      </c>
      <c r="BX29" s="252">
        <v>0</v>
      </c>
      <c r="BY29" s="252">
        <v>0</v>
      </c>
      <c r="BZ29" s="252">
        <v>0</v>
      </c>
      <c r="CA29" s="252">
        <v>0</v>
      </c>
      <c r="CB29" s="252">
        <v>0</v>
      </c>
      <c r="CC29" s="252">
        <v>0</v>
      </c>
      <c r="CD29" s="252">
        <v>0</v>
      </c>
      <c r="CE29" s="252">
        <v>0</v>
      </c>
      <c r="CF29" s="252">
        <v>0</v>
      </c>
      <c r="CG29" s="252">
        <v>0</v>
      </c>
      <c r="CH29" s="252">
        <v>0</v>
      </c>
      <c r="CI29" s="252">
        <v>0</v>
      </c>
      <c r="CJ29" s="252">
        <v>0</v>
      </c>
      <c r="CK29" s="252">
        <v>0</v>
      </c>
      <c r="CL29" s="252">
        <v>0</v>
      </c>
      <c r="CM29" s="252">
        <v>0</v>
      </c>
      <c r="CN29" s="252">
        <v>0</v>
      </c>
      <c r="CO29" s="252">
        <v>0</v>
      </c>
      <c r="CP29" s="252">
        <v>0</v>
      </c>
      <c r="CQ29" s="252">
        <v>0</v>
      </c>
      <c r="CR29" s="252">
        <v>0</v>
      </c>
      <c r="CS29" s="252">
        <v>0</v>
      </c>
      <c r="CT29" s="252">
        <v>0</v>
      </c>
      <c r="CU29" s="252">
        <v>0</v>
      </c>
      <c r="CV29" s="252">
        <v>0</v>
      </c>
      <c r="CW29" s="252">
        <v>0</v>
      </c>
      <c r="CX29" s="252">
        <v>0</v>
      </c>
      <c r="CY29" s="252">
        <v>0</v>
      </c>
      <c r="CZ29" s="252">
        <v>0</v>
      </c>
      <c r="DA29" s="252">
        <v>0</v>
      </c>
      <c r="DB29" s="252">
        <v>0</v>
      </c>
      <c r="DC29" s="252">
        <v>0</v>
      </c>
      <c r="DD29" s="252">
        <v>0</v>
      </c>
      <c r="DE29" s="252">
        <v>0</v>
      </c>
      <c r="DF29" s="252">
        <v>0</v>
      </c>
      <c r="DG29" s="252">
        <v>0</v>
      </c>
      <c r="DH29" s="252">
        <v>0</v>
      </c>
      <c r="DI29" s="252">
        <v>0</v>
      </c>
      <c r="DJ29" s="252">
        <v>0</v>
      </c>
      <c r="DK29" s="252">
        <v>0</v>
      </c>
      <c r="DL29" s="252">
        <v>0</v>
      </c>
      <c r="DM29" s="252">
        <v>0</v>
      </c>
      <c r="DN29" s="252">
        <v>0</v>
      </c>
      <c r="DO29" s="252">
        <v>0</v>
      </c>
      <c r="DP29" s="252">
        <v>0</v>
      </c>
      <c r="DQ29" s="252">
        <v>0</v>
      </c>
      <c r="DR29" s="252">
        <v>0</v>
      </c>
      <c r="DS29" s="252">
        <v>0</v>
      </c>
      <c r="DT29" s="252">
        <v>0</v>
      </c>
      <c r="DU29" s="252">
        <v>0</v>
      </c>
      <c r="DV29" s="252">
        <v>0</v>
      </c>
      <c r="DW29" s="252">
        <v>0</v>
      </c>
      <c r="DX29" s="252">
        <v>0</v>
      </c>
      <c r="DY29" s="252">
        <v>0</v>
      </c>
      <c r="DZ29" s="252">
        <v>0</v>
      </c>
      <c r="EA29" s="252">
        <v>393700787.40157479</v>
      </c>
      <c r="EB29" s="252">
        <v>86616478.31833522</v>
      </c>
      <c r="EG29" s="252" t="str">
        <f>VLOOKUP(B29,'2022. tervsor'!C:D,2,0)</f>
        <v>PPP szolgáltatás</v>
      </c>
    </row>
    <row r="30" spans="1:137" s="252" customFormat="1" x14ac:dyDescent="0.3">
      <c r="A30" s="435"/>
      <c r="B30" s="435">
        <v>105</v>
      </c>
      <c r="C30" s="252">
        <v>2390362.2047244096</v>
      </c>
      <c r="D30" s="252">
        <v>1251687.2288031257</v>
      </c>
      <c r="E30" s="252">
        <v>100507.53684091197</v>
      </c>
      <c r="F30" s="252">
        <v>40077.280978248418</v>
      </c>
      <c r="G30" s="252">
        <v>56258.882373581895</v>
      </c>
      <c r="H30" s="252">
        <v>26791.351692298431</v>
      </c>
      <c r="I30" s="252">
        <v>279.86940909641368</v>
      </c>
      <c r="J30" s="252">
        <v>1021.890312416612</v>
      </c>
      <c r="K30" s="252">
        <v>4730.7623288337745</v>
      </c>
      <c r="L30" s="252">
        <v>21253.715186665093</v>
      </c>
      <c r="M30" s="252">
        <v>526919.21212215023</v>
      </c>
      <c r="N30" s="252">
        <v>0</v>
      </c>
      <c r="O30" s="252">
        <v>0</v>
      </c>
      <c r="P30" s="252">
        <v>0</v>
      </c>
      <c r="Q30" s="252">
        <v>0</v>
      </c>
      <c r="R30" s="252">
        <v>0</v>
      </c>
      <c r="S30" s="252">
        <v>3242988.166309637</v>
      </c>
      <c r="T30" s="252">
        <v>0</v>
      </c>
      <c r="U30" s="252">
        <v>0</v>
      </c>
      <c r="V30" s="252">
        <v>0</v>
      </c>
      <c r="W30" s="252">
        <v>0</v>
      </c>
      <c r="X30" s="252">
        <v>0</v>
      </c>
      <c r="Y30" s="252">
        <v>0</v>
      </c>
      <c r="Z30" s="252">
        <v>0</v>
      </c>
      <c r="AA30" s="252">
        <v>0</v>
      </c>
      <c r="AB30" s="252">
        <v>0</v>
      </c>
      <c r="AC30" s="252">
        <v>0</v>
      </c>
      <c r="AD30" s="252">
        <v>0</v>
      </c>
      <c r="AE30" s="252">
        <v>0</v>
      </c>
      <c r="AF30" s="252">
        <v>0</v>
      </c>
      <c r="AG30" s="252">
        <v>0</v>
      </c>
      <c r="AH30" s="252">
        <v>0</v>
      </c>
      <c r="AI30" s="252">
        <v>0</v>
      </c>
      <c r="AJ30" s="252">
        <v>0</v>
      </c>
      <c r="AK30" s="252">
        <v>0</v>
      </c>
      <c r="AL30" s="252">
        <v>0</v>
      </c>
      <c r="AM30" s="252">
        <v>0</v>
      </c>
      <c r="AN30" s="252">
        <v>142922.67827240791</v>
      </c>
      <c r="AO30" s="252">
        <v>0</v>
      </c>
      <c r="AP30" s="252">
        <v>0</v>
      </c>
      <c r="AQ30" s="252">
        <v>0</v>
      </c>
      <c r="AR30" s="252">
        <v>0</v>
      </c>
      <c r="AS30" s="252">
        <v>0</v>
      </c>
      <c r="AT30" s="252">
        <v>0</v>
      </c>
      <c r="AU30" s="252">
        <v>0</v>
      </c>
      <c r="AV30" s="252">
        <v>0</v>
      </c>
      <c r="AW30" s="252">
        <v>0</v>
      </c>
      <c r="AX30" s="252">
        <v>0</v>
      </c>
      <c r="AY30" s="252">
        <v>0</v>
      </c>
      <c r="AZ30" s="252">
        <v>0</v>
      </c>
      <c r="BA30" s="252">
        <v>0</v>
      </c>
      <c r="BB30" s="252">
        <v>0</v>
      </c>
      <c r="BC30" s="252">
        <v>0</v>
      </c>
      <c r="BD30" s="252">
        <v>0</v>
      </c>
      <c r="BE30" s="252">
        <v>0</v>
      </c>
      <c r="BF30" s="252">
        <v>0</v>
      </c>
      <c r="BG30" s="252">
        <v>0</v>
      </c>
      <c r="BH30" s="252">
        <v>0</v>
      </c>
      <c r="BI30" s="252">
        <v>0</v>
      </c>
      <c r="BJ30" s="252">
        <v>901.9421211965323</v>
      </c>
      <c r="BK30" s="252">
        <v>19061.721858919591</v>
      </c>
      <c r="BL30" s="252">
        <v>15161.292258073227</v>
      </c>
      <c r="BM30" s="252">
        <v>696.47765292965721</v>
      </c>
      <c r="BN30" s="252">
        <v>0</v>
      </c>
      <c r="BO30" s="252">
        <v>0</v>
      </c>
      <c r="BP30" s="252">
        <v>0</v>
      </c>
      <c r="BQ30" s="252">
        <v>0</v>
      </c>
      <c r="BR30" s="252">
        <v>0</v>
      </c>
      <c r="BS30" s="252">
        <v>0</v>
      </c>
      <c r="BT30" s="252">
        <v>0</v>
      </c>
      <c r="BU30" s="252">
        <v>0</v>
      </c>
      <c r="BV30" s="252">
        <v>0</v>
      </c>
      <c r="BW30" s="252">
        <v>0</v>
      </c>
      <c r="BX30" s="252">
        <v>0</v>
      </c>
      <c r="BY30" s="252">
        <v>71846.928439577532</v>
      </c>
      <c r="BZ30" s="252">
        <v>0</v>
      </c>
      <c r="CA30" s="252">
        <v>0</v>
      </c>
      <c r="CB30" s="252">
        <v>0</v>
      </c>
      <c r="CC30" s="252">
        <v>0</v>
      </c>
      <c r="CD30" s="252">
        <v>0</v>
      </c>
      <c r="CE30" s="252">
        <v>0</v>
      </c>
      <c r="CF30" s="252">
        <v>0</v>
      </c>
      <c r="CG30" s="252">
        <v>0</v>
      </c>
      <c r="CH30" s="252">
        <v>0</v>
      </c>
      <c r="CI30" s="252">
        <v>0</v>
      </c>
      <c r="CJ30" s="252">
        <v>0</v>
      </c>
      <c r="CK30" s="252">
        <v>0</v>
      </c>
      <c r="CL30" s="252">
        <v>0</v>
      </c>
      <c r="CM30" s="252">
        <v>72712.472904142021</v>
      </c>
      <c r="CN30" s="252">
        <v>6242.0921410054498</v>
      </c>
      <c r="CO30" s="252">
        <v>15765.024741295518</v>
      </c>
      <c r="CP30" s="252">
        <v>58782.221761821784</v>
      </c>
      <c r="CQ30" s="252">
        <v>16123.813970791516</v>
      </c>
      <c r="CR30" s="252">
        <v>27392.957615697043</v>
      </c>
      <c r="CS30" s="252">
        <v>23761.796273371761</v>
      </c>
      <c r="CT30" s="252">
        <v>13145.952741071913</v>
      </c>
      <c r="CU30" s="252">
        <v>5901.3121113794768</v>
      </c>
      <c r="CV30" s="252">
        <v>7282.6715028131312</v>
      </c>
      <c r="CW30" s="252">
        <v>97942.400043582355</v>
      </c>
      <c r="CX30" s="252">
        <v>0</v>
      </c>
      <c r="CY30" s="252">
        <v>0</v>
      </c>
      <c r="CZ30" s="252">
        <v>0</v>
      </c>
      <c r="DA30" s="252">
        <v>0</v>
      </c>
      <c r="DB30" s="252">
        <v>0</v>
      </c>
      <c r="DC30" s="252">
        <v>0</v>
      </c>
      <c r="DD30" s="252">
        <v>10943.063634444439</v>
      </c>
      <c r="DE30" s="252">
        <v>470797.49063270277</v>
      </c>
      <c r="DF30" s="252">
        <v>939884.30381387495</v>
      </c>
      <c r="DG30" s="252">
        <v>0</v>
      </c>
      <c r="DH30" s="252">
        <v>0</v>
      </c>
      <c r="DI30" s="252">
        <v>0</v>
      </c>
      <c r="DJ30" s="252">
        <v>0</v>
      </c>
      <c r="DK30" s="252">
        <v>0</v>
      </c>
      <c r="DL30" s="252">
        <v>0</v>
      </c>
      <c r="DM30" s="252">
        <v>0</v>
      </c>
      <c r="DN30" s="252">
        <v>0</v>
      </c>
      <c r="DO30" s="252">
        <v>0</v>
      </c>
      <c r="DP30" s="252">
        <v>0</v>
      </c>
      <c r="DQ30" s="252">
        <v>0</v>
      </c>
      <c r="DR30" s="252">
        <v>0</v>
      </c>
      <c r="DS30" s="252">
        <v>0</v>
      </c>
      <c r="DT30" s="252">
        <v>0</v>
      </c>
      <c r="DU30" s="252">
        <v>0</v>
      </c>
      <c r="DV30" s="252">
        <v>0</v>
      </c>
      <c r="DW30" s="252">
        <v>0</v>
      </c>
      <c r="DX30" s="252">
        <v>0</v>
      </c>
      <c r="DY30" s="252">
        <v>0</v>
      </c>
      <c r="DZ30" s="252">
        <v>0</v>
      </c>
      <c r="EG30" s="252" t="str">
        <f>VLOOKUP(B30,'2022. tervsor'!C:D,2,0)</f>
        <v>Egyéb kül. bérleti és lízing díjak (PPP nélkül)</v>
      </c>
    </row>
    <row r="31" spans="1:137" s="252" customFormat="1" x14ac:dyDescent="0.3">
      <c r="A31" s="435"/>
      <c r="B31" s="435">
        <v>108</v>
      </c>
      <c r="C31" s="252">
        <v>2401574.8031496066</v>
      </c>
      <c r="D31" s="252">
        <v>39144765.046584964</v>
      </c>
      <c r="E31" s="252">
        <v>3143232.4501788965</v>
      </c>
      <c r="F31" s="252">
        <v>1253360.8328812451</v>
      </c>
      <c r="G31" s="252">
        <v>19623920.15578955</v>
      </c>
      <c r="H31" s="252">
        <v>9345214.9117385298</v>
      </c>
      <c r="I31" s="252">
        <v>97622.538991905501</v>
      </c>
      <c r="J31" s="252">
        <v>356450.27154423471</v>
      </c>
      <c r="K31" s="252">
        <v>593784.85453357652</v>
      </c>
      <c r="L31" s="252">
        <v>2667674.5317541892</v>
      </c>
      <c r="M31" s="252">
        <v>66136623.650258049</v>
      </c>
      <c r="N31" s="252">
        <v>3257696.4456736175</v>
      </c>
      <c r="O31" s="252">
        <v>165461.66642308573</v>
      </c>
      <c r="P31" s="252">
        <v>907765.54078612884</v>
      </c>
      <c r="Q31" s="252">
        <v>37190247.484976523</v>
      </c>
      <c r="R31" s="252">
        <v>7711767.3960181978</v>
      </c>
      <c r="S31" s="252">
        <v>0</v>
      </c>
      <c r="T31" s="252">
        <v>11306386.879450886</v>
      </c>
      <c r="U31" s="252">
        <v>212261.81162370727</v>
      </c>
      <c r="V31" s="252">
        <v>855056.62731514766</v>
      </c>
      <c r="W31" s="252">
        <v>107167.56846348519</v>
      </c>
      <c r="X31" s="252">
        <v>40192497.810251005</v>
      </c>
      <c r="Y31" s="252">
        <v>258166.31175852258</v>
      </c>
      <c r="Z31" s="252">
        <v>236703.03101522187</v>
      </c>
      <c r="AA31" s="252">
        <v>949834.06991909433</v>
      </c>
      <c r="AB31" s="252">
        <v>0</v>
      </c>
      <c r="AC31" s="252">
        <v>141772.50492472301</v>
      </c>
      <c r="AD31" s="252">
        <v>194630.98075724836</v>
      </c>
      <c r="AE31" s="252">
        <v>0</v>
      </c>
      <c r="AF31" s="252">
        <v>0</v>
      </c>
      <c r="AG31" s="252">
        <v>0</v>
      </c>
      <c r="AH31" s="252">
        <v>0</v>
      </c>
      <c r="AI31" s="252">
        <v>0</v>
      </c>
      <c r="AJ31" s="252">
        <v>0</v>
      </c>
      <c r="AK31" s="252">
        <v>0</v>
      </c>
      <c r="AL31" s="252">
        <v>146530.39622544587</v>
      </c>
      <c r="AM31" s="252">
        <v>220356.97223694343</v>
      </c>
      <c r="AN31" s="252">
        <v>19659540.904731225</v>
      </c>
      <c r="AO31" s="252">
        <v>0</v>
      </c>
      <c r="AP31" s="252">
        <v>0</v>
      </c>
      <c r="AQ31" s="252">
        <v>32537271.380935755</v>
      </c>
      <c r="AR31" s="252">
        <v>297314.11485469498</v>
      </c>
      <c r="AS31" s="252">
        <v>963172.83664728259</v>
      </c>
      <c r="AT31" s="252">
        <v>461930.60351979831</v>
      </c>
      <c r="AU31" s="252">
        <v>32232130.719070885</v>
      </c>
      <c r="AV31" s="252">
        <v>17157768.857569449</v>
      </c>
      <c r="AW31" s="252">
        <v>347021313.89616078</v>
      </c>
      <c r="AX31" s="252">
        <v>73369200.089040518</v>
      </c>
      <c r="AY31" s="252">
        <v>27483027.120768599</v>
      </c>
      <c r="AZ31" s="252">
        <v>4985244.4815467745</v>
      </c>
      <c r="BA31" s="252">
        <v>0</v>
      </c>
      <c r="BB31" s="252">
        <v>371074.84808371763</v>
      </c>
      <c r="BC31" s="252">
        <v>2338574.6657643784</v>
      </c>
      <c r="BD31" s="252">
        <v>0</v>
      </c>
      <c r="BE31" s="252">
        <v>0</v>
      </c>
      <c r="BF31" s="252">
        <v>0</v>
      </c>
      <c r="BG31" s="252">
        <v>0</v>
      </c>
      <c r="BH31" s="252">
        <v>0</v>
      </c>
      <c r="BI31" s="252">
        <v>41143040.889571816</v>
      </c>
      <c r="BJ31" s="252">
        <v>594857.70250534837</v>
      </c>
      <c r="BK31" s="252">
        <v>12574053.771150649</v>
      </c>
      <c r="BL31" s="252">
        <v>9999323.9784444794</v>
      </c>
      <c r="BM31" s="252">
        <v>459347.76382150647</v>
      </c>
      <c r="BN31" s="252">
        <v>74918767.423882857</v>
      </c>
      <c r="BO31" s="252">
        <v>1022458.1569067169</v>
      </c>
      <c r="BP31" s="252">
        <v>38732231.016651005</v>
      </c>
      <c r="BQ31" s="252">
        <v>23342884.009476677</v>
      </c>
      <c r="BR31" s="252">
        <v>2074449.3611959126</v>
      </c>
      <c r="BS31" s="252">
        <v>4733653.1306384243</v>
      </c>
      <c r="BT31" s="252">
        <v>1097997.1655654968</v>
      </c>
      <c r="BU31" s="252">
        <v>16332647.563231852</v>
      </c>
      <c r="BV31" s="252">
        <v>2382700.8904153891</v>
      </c>
      <c r="BW31" s="252">
        <v>1077689.8135120973</v>
      </c>
      <c r="BX31" s="252">
        <v>2818698.3060918595</v>
      </c>
      <c r="BY31" s="252">
        <v>28692741.786147755</v>
      </c>
      <c r="BZ31" s="252">
        <v>8725912.1725452412</v>
      </c>
      <c r="CA31" s="252">
        <v>1267157.1326654966</v>
      </c>
      <c r="CB31" s="252">
        <v>688722.73413490481</v>
      </c>
      <c r="CC31" s="252">
        <v>0</v>
      </c>
      <c r="CD31" s="252">
        <v>1619646.0931970575</v>
      </c>
      <c r="CE31" s="252">
        <v>826679.97243345482</v>
      </c>
      <c r="CF31" s="252">
        <v>5468050.1389016202</v>
      </c>
      <c r="CG31" s="252">
        <v>2806643.7677184902</v>
      </c>
      <c r="CH31" s="252">
        <v>8786196.5452753641</v>
      </c>
      <c r="CI31" s="252">
        <v>0</v>
      </c>
      <c r="CJ31" s="252">
        <v>0</v>
      </c>
      <c r="CK31" s="252">
        <v>0</v>
      </c>
      <c r="CL31" s="252">
        <v>4155733.2937607826</v>
      </c>
      <c r="CM31" s="252">
        <v>21421238.311136466</v>
      </c>
      <c r="CN31" s="252">
        <v>1318660.9380925458</v>
      </c>
      <c r="CO31" s="252">
        <v>3330409.3955685152</v>
      </c>
      <c r="CP31" s="252">
        <v>12417923.020137021</v>
      </c>
      <c r="CQ31" s="252">
        <v>3406204.7108661989</v>
      </c>
      <c r="CR31" s="252">
        <v>5786845.5592560386</v>
      </c>
      <c r="CS31" s="252">
        <v>5019751.6885037944</v>
      </c>
      <c r="CT31" s="252">
        <v>2777122.4746563742</v>
      </c>
      <c r="CU31" s="252">
        <v>1246670.1210077137</v>
      </c>
      <c r="CV31" s="252">
        <v>1538486.4911930861</v>
      </c>
      <c r="CW31" s="252">
        <v>33937446.756764211</v>
      </c>
      <c r="CX31" s="252">
        <v>863990.7758079319</v>
      </c>
      <c r="CY31" s="252">
        <v>3846973.8684083396</v>
      </c>
      <c r="CZ31" s="252">
        <v>147963.6217060083</v>
      </c>
      <c r="DA31" s="252">
        <v>172162.10820735537</v>
      </c>
      <c r="DB31" s="252">
        <v>36214.259649728847</v>
      </c>
      <c r="DC31" s="252">
        <v>217233.95097847414</v>
      </c>
      <c r="DD31" s="252">
        <v>4617.3264280356279</v>
      </c>
      <c r="DE31" s="252">
        <v>226562.79626212837</v>
      </c>
      <c r="DF31" s="252">
        <v>185876.45680092453</v>
      </c>
      <c r="DG31" s="252">
        <v>0</v>
      </c>
      <c r="DH31" s="252">
        <v>11907043.638452915</v>
      </c>
      <c r="DI31" s="252">
        <v>4659523.3402682086</v>
      </c>
      <c r="DJ31" s="252">
        <v>49292945.044431828</v>
      </c>
      <c r="DK31" s="252">
        <v>0</v>
      </c>
      <c r="DL31" s="252">
        <v>33596638.372422747</v>
      </c>
      <c r="DM31" s="252">
        <v>16262349.798637284</v>
      </c>
      <c r="DN31" s="252">
        <v>4144959.958389225</v>
      </c>
      <c r="DO31" s="252">
        <v>424191.51095162646</v>
      </c>
      <c r="DP31" s="252">
        <v>899759.48675547645</v>
      </c>
      <c r="DQ31" s="252">
        <v>315621.43750293634</v>
      </c>
      <c r="DR31" s="252">
        <v>50329740.046254478</v>
      </c>
      <c r="DS31" s="252">
        <v>2101112.1665986711</v>
      </c>
      <c r="DT31" s="252">
        <v>67874.80314960629</v>
      </c>
      <c r="DU31" s="252">
        <v>0</v>
      </c>
      <c r="DV31" s="252">
        <v>2200003.9370078738</v>
      </c>
      <c r="DW31" s="252">
        <v>1366908.6614173227</v>
      </c>
      <c r="DX31" s="252">
        <v>45013197.856653936</v>
      </c>
      <c r="DY31" s="252">
        <v>55440588.020504817</v>
      </c>
      <c r="DZ31" s="252">
        <v>27436235.552477777</v>
      </c>
      <c r="EG31" s="252" t="str">
        <f>VLOOKUP(B31,'2022. tervsor'!C:D,2,0)</f>
        <v>Ingatlanok karbantartása. kisjavítása</v>
      </c>
    </row>
    <row r="32" spans="1:137" s="252" customFormat="1" x14ac:dyDescent="0.3">
      <c r="A32" s="435"/>
      <c r="B32" s="435">
        <v>109</v>
      </c>
      <c r="C32" s="252">
        <v>39370.078740157485</v>
      </c>
      <c r="D32" s="252">
        <v>364937.05446177028</v>
      </c>
      <c r="E32" s="252">
        <v>29303.58607317819</v>
      </c>
      <c r="F32" s="252">
        <v>11684.775984351874</v>
      </c>
      <c r="G32" s="252">
        <v>239560.14157497667</v>
      </c>
      <c r="H32" s="252">
        <v>114082.25214594448</v>
      </c>
      <c r="I32" s="252">
        <v>1191.7327973284669</v>
      </c>
      <c r="J32" s="252">
        <v>4351.3873292224534</v>
      </c>
      <c r="K32" s="252">
        <v>6727.3489330282518</v>
      </c>
      <c r="L32" s="252">
        <v>30223.703548249359</v>
      </c>
      <c r="M32" s="252">
        <v>749301.94185762212</v>
      </c>
      <c r="N32" s="252">
        <v>0</v>
      </c>
      <c r="O32" s="252">
        <v>3462.3365394711932</v>
      </c>
      <c r="P32" s="252">
        <v>18995.274670448514</v>
      </c>
      <c r="Q32" s="252">
        <v>778217.42983029166</v>
      </c>
      <c r="R32" s="252">
        <v>12186.758315748373</v>
      </c>
      <c r="S32" s="252">
        <v>0</v>
      </c>
      <c r="T32" s="252">
        <v>58181.625656850367</v>
      </c>
      <c r="U32" s="252">
        <v>262670.56010654505</v>
      </c>
      <c r="V32" s="252">
        <v>1058118.7520336702</v>
      </c>
      <c r="W32" s="252">
        <v>132618.13332425241</v>
      </c>
      <c r="X32" s="252">
        <v>2681262.1859699539</v>
      </c>
      <c r="Y32" s="252">
        <v>17222.407342718318</v>
      </c>
      <c r="Z32" s="252">
        <v>15790.580853218786</v>
      </c>
      <c r="AA32" s="252">
        <v>63363.918974213761</v>
      </c>
      <c r="AB32" s="252">
        <v>0</v>
      </c>
      <c r="AC32" s="252">
        <v>9457.7166679088004</v>
      </c>
      <c r="AD32" s="252">
        <v>270141.19145339751</v>
      </c>
      <c r="AE32" s="252">
        <v>0</v>
      </c>
      <c r="AF32" s="252">
        <v>0</v>
      </c>
      <c r="AG32" s="252">
        <v>0</v>
      </c>
      <c r="AH32" s="252">
        <v>0</v>
      </c>
      <c r="AI32" s="252">
        <v>0</v>
      </c>
      <c r="AJ32" s="252">
        <v>0</v>
      </c>
      <c r="AK32" s="252">
        <v>0</v>
      </c>
      <c r="AL32" s="252">
        <v>328871.25290089549</v>
      </c>
      <c r="AM32" s="252">
        <v>494566.82989864697</v>
      </c>
      <c r="AN32" s="252">
        <v>638628.49121553206</v>
      </c>
      <c r="AO32" s="252">
        <v>0</v>
      </c>
      <c r="AP32" s="252">
        <v>0</v>
      </c>
      <c r="AQ32" s="252">
        <v>307184.56033476099</v>
      </c>
      <c r="AR32" s="252">
        <v>142297.36460959839</v>
      </c>
      <c r="AS32" s="252">
        <v>460983.68516894238</v>
      </c>
      <c r="AT32" s="252">
        <v>221084.38257468276</v>
      </c>
      <c r="AU32" s="252">
        <v>137984.49259234755</v>
      </c>
      <c r="AV32" s="252">
        <v>106359.08686563498</v>
      </c>
      <c r="AW32" s="252">
        <v>2151146.2460706574</v>
      </c>
      <c r="AX32" s="252">
        <v>454807.45138315414</v>
      </c>
      <c r="AY32" s="252">
        <v>170364.20604179351</v>
      </c>
      <c r="AZ32" s="252">
        <v>30902.972015813251</v>
      </c>
      <c r="BA32" s="252">
        <v>0</v>
      </c>
      <c r="BB32" s="252">
        <v>27626.179875202321</v>
      </c>
      <c r="BC32" s="252">
        <v>174104.72496756836</v>
      </c>
      <c r="BD32" s="252">
        <v>0</v>
      </c>
      <c r="BE32" s="252">
        <v>0</v>
      </c>
      <c r="BF32" s="252">
        <v>0</v>
      </c>
      <c r="BG32" s="252">
        <v>0</v>
      </c>
      <c r="BH32" s="252">
        <v>0</v>
      </c>
      <c r="BI32" s="252">
        <v>315654.56127960043</v>
      </c>
      <c r="BJ32" s="252">
        <v>21589.291222509892</v>
      </c>
      <c r="BK32" s="252">
        <v>456269.92546789581</v>
      </c>
      <c r="BL32" s="252">
        <v>362907.49281660886</v>
      </c>
      <c r="BM32" s="252">
        <v>16671.20153909755</v>
      </c>
      <c r="BN32" s="252">
        <v>868291.34040073922</v>
      </c>
      <c r="BO32" s="252">
        <v>11850.055654829013</v>
      </c>
      <c r="BP32" s="252">
        <v>190620.69566413591</v>
      </c>
      <c r="BQ32" s="252">
        <v>75104.016332288389</v>
      </c>
      <c r="BR32" s="252">
        <v>6674.3885905662728</v>
      </c>
      <c r="BS32" s="252">
        <v>15230.181578699738</v>
      </c>
      <c r="BT32" s="252">
        <v>3532.7253060058451</v>
      </c>
      <c r="BU32" s="252">
        <v>1455401.4748021613</v>
      </c>
      <c r="BV32" s="252">
        <v>85658.416407335448</v>
      </c>
      <c r="BW32" s="252">
        <v>145942.13032003827</v>
      </c>
      <c r="BX32" s="252">
        <v>684652.92124833481</v>
      </c>
      <c r="BY32" s="252">
        <v>313884.86096682632</v>
      </c>
      <c r="BZ32" s="252">
        <v>17034.270398240576</v>
      </c>
      <c r="CA32" s="252">
        <v>744454.81544097932</v>
      </c>
      <c r="CB32" s="252">
        <v>149729.10061870699</v>
      </c>
      <c r="CC32" s="252">
        <v>0</v>
      </c>
      <c r="CD32" s="252">
        <v>0</v>
      </c>
      <c r="CE32" s="252">
        <v>131507.69426347202</v>
      </c>
      <c r="CF32" s="252">
        <v>31928.965999129869</v>
      </c>
      <c r="CG32" s="252">
        <v>16388.517141350545</v>
      </c>
      <c r="CH32" s="252">
        <v>51304.242578163517</v>
      </c>
      <c r="CI32" s="252">
        <v>0</v>
      </c>
      <c r="CJ32" s="252">
        <v>0</v>
      </c>
      <c r="CK32" s="252">
        <v>0</v>
      </c>
      <c r="CL32" s="252">
        <v>1232676.4756182847</v>
      </c>
      <c r="CM32" s="252">
        <v>2842282.7899993691</v>
      </c>
      <c r="CN32" s="252">
        <v>17776.966115894866</v>
      </c>
      <c r="CO32" s="252">
        <v>44897.496594324934</v>
      </c>
      <c r="CP32" s="252">
        <v>167406.94319654891</v>
      </c>
      <c r="CQ32" s="252">
        <v>45919.298873339518</v>
      </c>
      <c r="CR32" s="252">
        <v>78012.895091605053</v>
      </c>
      <c r="CS32" s="252">
        <v>67671.645605744969</v>
      </c>
      <c r="CT32" s="252">
        <v>37438.594490460047</v>
      </c>
      <c r="CU32" s="252">
        <v>16806.452560057034</v>
      </c>
      <c r="CV32" s="252">
        <v>20740.45073577666</v>
      </c>
      <c r="CW32" s="252">
        <v>202555.70829330262</v>
      </c>
      <c r="CX32" s="252">
        <v>1493385.6166368774</v>
      </c>
      <c r="CY32" s="252">
        <v>342953.62784321152</v>
      </c>
      <c r="CZ32" s="252">
        <v>346388.8253811177</v>
      </c>
      <c r="DA32" s="252">
        <v>229624.1521308253</v>
      </c>
      <c r="DB32" s="252">
        <v>61001.834249748666</v>
      </c>
      <c r="DC32" s="252">
        <v>52164.647944930541</v>
      </c>
      <c r="DD32" s="252">
        <v>3809.294303129393</v>
      </c>
      <c r="DE32" s="252">
        <v>186914.30691625591</v>
      </c>
      <c r="DF32" s="252">
        <v>190523.36822094765</v>
      </c>
      <c r="DG32" s="252">
        <v>0</v>
      </c>
      <c r="DH32" s="252">
        <v>84156.574998779121</v>
      </c>
      <c r="DI32" s="252">
        <v>32932.568095869741</v>
      </c>
      <c r="DJ32" s="252">
        <v>348392.56094986619</v>
      </c>
      <c r="DK32" s="252">
        <v>0</v>
      </c>
      <c r="DL32" s="252">
        <v>237454.24160241146</v>
      </c>
      <c r="DM32" s="252">
        <v>114938.9976253769</v>
      </c>
      <c r="DN32" s="252">
        <v>29295.738236703241</v>
      </c>
      <c r="DO32" s="252">
        <v>2998.0997625607338</v>
      </c>
      <c r="DP32" s="252">
        <v>6359.3179824642566</v>
      </c>
      <c r="DQ32" s="252">
        <v>2230.7484530131014</v>
      </c>
      <c r="DR32" s="252">
        <v>192525.90389508515</v>
      </c>
      <c r="DS32" s="252">
        <v>8068.1807312099963</v>
      </c>
      <c r="DT32" s="252">
        <v>0</v>
      </c>
      <c r="DU32" s="252">
        <v>0</v>
      </c>
      <c r="DV32" s="252">
        <v>0</v>
      </c>
      <c r="DW32" s="252">
        <v>0</v>
      </c>
      <c r="DX32" s="252">
        <v>168121.49336540821</v>
      </c>
      <c r="DY32" s="252">
        <v>207067.1468564817</v>
      </c>
      <c r="DZ32" s="252">
        <v>102845.71434783093</v>
      </c>
      <c r="EG32" s="252" t="str">
        <f>VLOOKUP(B32,'2022. tervsor'!C:D,2,0)</f>
        <v>Gépek berendezések karbantartása, kisjavítása ktg.</v>
      </c>
    </row>
    <row r="33" spans="1:137" s="252" customFormat="1" x14ac:dyDescent="0.3">
      <c r="A33" s="435"/>
      <c r="B33" s="435">
        <v>112</v>
      </c>
      <c r="C33" s="252">
        <v>0</v>
      </c>
      <c r="D33" s="252">
        <v>0</v>
      </c>
      <c r="E33" s="252">
        <v>0</v>
      </c>
      <c r="F33" s="252">
        <v>0</v>
      </c>
      <c r="G33" s="252">
        <v>0</v>
      </c>
      <c r="H33" s="252">
        <v>0</v>
      </c>
      <c r="I33" s="252">
        <v>0</v>
      </c>
      <c r="J33" s="252">
        <v>0</v>
      </c>
      <c r="K33" s="252">
        <v>0</v>
      </c>
      <c r="L33" s="252">
        <v>0</v>
      </c>
      <c r="M33" s="252">
        <v>0</v>
      </c>
      <c r="N33" s="252">
        <v>0</v>
      </c>
      <c r="O33" s="252">
        <v>0</v>
      </c>
      <c r="P33" s="252">
        <v>0</v>
      </c>
      <c r="Q33" s="252">
        <v>0</v>
      </c>
      <c r="R33" s="252">
        <v>0</v>
      </c>
      <c r="S33" s="252">
        <v>0</v>
      </c>
      <c r="T33" s="252">
        <v>0</v>
      </c>
      <c r="U33" s="252">
        <v>0</v>
      </c>
      <c r="V33" s="252">
        <v>0</v>
      </c>
      <c r="W33" s="252">
        <v>0</v>
      </c>
      <c r="X33" s="252">
        <v>0</v>
      </c>
      <c r="Y33" s="252">
        <v>0</v>
      </c>
      <c r="Z33" s="252">
        <v>0</v>
      </c>
      <c r="AA33" s="252">
        <v>0</v>
      </c>
      <c r="AB33" s="252">
        <v>0</v>
      </c>
      <c r="AC33" s="252">
        <v>0</v>
      </c>
      <c r="AD33" s="252">
        <v>0</v>
      </c>
      <c r="AE33" s="252">
        <v>0</v>
      </c>
      <c r="AF33" s="252">
        <v>0</v>
      </c>
      <c r="AG33" s="252">
        <v>0</v>
      </c>
      <c r="AH33" s="252">
        <v>0</v>
      </c>
      <c r="AI33" s="252">
        <v>0</v>
      </c>
      <c r="AJ33" s="252">
        <v>0</v>
      </c>
      <c r="AK33" s="252">
        <v>0</v>
      </c>
      <c r="AL33" s="252">
        <v>0</v>
      </c>
      <c r="AM33" s="252">
        <v>0</v>
      </c>
      <c r="AN33" s="252">
        <v>0</v>
      </c>
      <c r="AO33" s="252">
        <v>0</v>
      </c>
      <c r="AP33" s="252">
        <v>0</v>
      </c>
      <c r="AQ33" s="252">
        <v>0</v>
      </c>
      <c r="AR33" s="252">
        <v>0</v>
      </c>
      <c r="AS33" s="252">
        <v>0</v>
      </c>
      <c r="AT33" s="252">
        <v>0</v>
      </c>
      <c r="AU33" s="252">
        <v>0</v>
      </c>
      <c r="AV33" s="252">
        <v>0</v>
      </c>
      <c r="AW33" s="252">
        <v>0</v>
      </c>
      <c r="AX33" s="252">
        <v>0</v>
      </c>
      <c r="AY33" s="252">
        <v>0</v>
      </c>
      <c r="AZ33" s="252">
        <v>0</v>
      </c>
      <c r="BA33" s="252">
        <v>0</v>
      </c>
      <c r="BB33" s="252">
        <v>0</v>
      </c>
      <c r="BC33" s="252">
        <v>0</v>
      </c>
      <c r="BD33" s="252">
        <v>0</v>
      </c>
      <c r="BE33" s="252">
        <v>0</v>
      </c>
      <c r="BF33" s="252">
        <v>0</v>
      </c>
      <c r="BG33" s="252">
        <v>0</v>
      </c>
      <c r="BH33" s="252">
        <v>3124517.3228346459</v>
      </c>
      <c r="BI33" s="252">
        <v>0</v>
      </c>
      <c r="BJ33" s="252">
        <v>0</v>
      </c>
      <c r="BK33" s="252">
        <v>0</v>
      </c>
      <c r="BL33" s="252">
        <v>0</v>
      </c>
      <c r="BM33" s="252">
        <v>0</v>
      </c>
      <c r="BN33" s="252">
        <v>0</v>
      </c>
      <c r="BO33" s="252">
        <v>0</v>
      </c>
      <c r="BP33" s="252">
        <v>0</v>
      </c>
      <c r="BQ33" s="252">
        <v>0</v>
      </c>
      <c r="BR33" s="252">
        <v>0</v>
      </c>
      <c r="BS33" s="252">
        <v>0</v>
      </c>
      <c r="BT33" s="252">
        <v>0</v>
      </c>
      <c r="BU33" s="252">
        <v>0</v>
      </c>
      <c r="BV33" s="252">
        <v>0</v>
      </c>
      <c r="BW33" s="252">
        <v>0</v>
      </c>
      <c r="BX33" s="252">
        <v>0</v>
      </c>
      <c r="BY33" s="252">
        <v>0</v>
      </c>
      <c r="BZ33" s="252">
        <v>0</v>
      </c>
      <c r="CA33" s="252">
        <v>0</v>
      </c>
      <c r="CB33" s="252">
        <v>0</v>
      </c>
      <c r="CC33" s="252">
        <v>0</v>
      </c>
      <c r="CD33" s="252">
        <v>0</v>
      </c>
      <c r="CE33" s="252">
        <v>0</v>
      </c>
      <c r="CF33" s="252">
        <v>0</v>
      </c>
      <c r="CG33" s="252">
        <v>0</v>
      </c>
      <c r="CH33" s="252">
        <v>0</v>
      </c>
      <c r="CI33" s="252">
        <v>0</v>
      </c>
      <c r="CJ33" s="252">
        <v>0</v>
      </c>
      <c r="CK33" s="252">
        <v>0</v>
      </c>
      <c r="CL33" s="252">
        <v>0</v>
      </c>
      <c r="CM33" s="252">
        <v>0</v>
      </c>
      <c r="CN33" s="252">
        <v>0</v>
      </c>
      <c r="CO33" s="252">
        <v>0</v>
      </c>
      <c r="CP33" s="252">
        <v>0</v>
      </c>
      <c r="CQ33" s="252">
        <v>0</v>
      </c>
      <c r="CR33" s="252">
        <v>0</v>
      </c>
      <c r="CS33" s="252">
        <v>0</v>
      </c>
      <c r="CT33" s="252">
        <v>0</v>
      </c>
      <c r="CU33" s="252">
        <v>0</v>
      </c>
      <c r="CV33" s="252">
        <v>0</v>
      </c>
      <c r="CW33" s="252">
        <v>0</v>
      </c>
      <c r="CX33" s="252">
        <v>0</v>
      </c>
      <c r="CY33" s="252">
        <v>0</v>
      </c>
      <c r="CZ33" s="252">
        <v>0</v>
      </c>
      <c r="DA33" s="252">
        <v>0</v>
      </c>
      <c r="DB33" s="252">
        <v>0</v>
      </c>
      <c r="DC33" s="252">
        <v>0</v>
      </c>
      <c r="DD33" s="252">
        <v>0</v>
      </c>
      <c r="DE33" s="252">
        <v>0</v>
      </c>
      <c r="DF33" s="252">
        <v>0</v>
      </c>
      <c r="DG33" s="252">
        <v>0</v>
      </c>
      <c r="DH33" s="252">
        <v>0</v>
      </c>
      <c r="DI33" s="252">
        <v>0</v>
      </c>
      <c r="DJ33" s="252">
        <v>0</v>
      </c>
      <c r="DK33" s="252">
        <v>0</v>
      </c>
      <c r="DL33" s="252">
        <v>0</v>
      </c>
      <c r="DM33" s="252">
        <v>0</v>
      </c>
      <c r="DN33" s="252">
        <v>0</v>
      </c>
      <c r="DO33" s="252">
        <v>0</v>
      </c>
      <c r="DP33" s="252">
        <v>0</v>
      </c>
      <c r="DQ33" s="252">
        <v>0</v>
      </c>
      <c r="DR33" s="252">
        <v>0</v>
      </c>
      <c r="DS33" s="252">
        <v>0</v>
      </c>
      <c r="DT33" s="252">
        <v>0</v>
      </c>
      <c r="DU33" s="252">
        <v>0</v>
      </c>
      <c r="DV33" s="252">
        <v>0</v>
      </c>
      <c r="DW33" s="252">
        <v>0</v>
      </c>
      <c r="DX33" s="252">
        <v>0</v>
      </c>
      <c r="DY33" s="252">
        <v>0</v>
      </c>
      <c r="DZ33" s="252">
        <v>0</v>
      </c>
      <c r="EG33" s="252" t="str">
        <f>VLOOKUP(B33,'2022. tervsor'!C:D,2,0)</f>
        <v>AHT-n belüli közvetített szolgáltatások</v>
      </c>
    </row>
    <row r="34" spans="1:137" s="252" customFormat="1" x14ac:dyDescent="0.3">
      <c r="A34" s="435"/>
      <c r="B34" s="435">
        <v>118</v>
      </c>
      <c r="C34" s="252">
        <v>0</v>
      </c>
      <c r="D34" s="252">
        <v>0</v>
      </c>
      <c r="E34" s="252">
        <v>0</v>
      </c>
      <c r="F34" s="252">
        <v>0</v>
      </c>
      <c r="G34" s="252">
        <v>0</v>
      </c>
      <c r="H34" s="252">
        <v>0</v>
      </c>
      <c r="I34" s="252">
        <v>0</v>
      </c>
      <c r="J34" s="252">
        <v>0</v>
      </c>
      <c r="K34" s="252">
        <v>0</v>
      </c>
      <c r="L34" s="252">
        <v>0</v>
      </c>
      <c r="M34" s="252">
        <v>0</v>
      </c>
      <c r="N34" s="252">
        <v>0</v>
      </c>
      <c r="O34" s="252">
        <v>0</v>
      </c>
      <c r="P34" s="252">
        <v>0</v>
      </c>
      <c r="Q34" s="252">
        <v>0</v>
      </c>
      <c r="R34" s="252">
        <v>0</v>
      </c>
      <c r="S34" s="252">
        <v>0</v>
      </c>
      <c r="T34" s="252">
        <v>0</v>
      </c>
      <c r="U34" s="252">
        <v>0</v>
      </c>
      <c r="V34" s="252">
        <v>0</v>
      </c>
      <c r="W34" s="252">
        <v>0</v>
      </c>
      <c r="X34" s="252">
        <v>0</v>
      </c>
      <c r="Y34" s="252">
        <v>0</v>
      </c>
      <c r="Z34" s="252">
        <v>0</v>
      </c>
      <c r="AA34" s="252">
        <v>0</v>
      </c>
      <c r="AB34" s="252">
        <v>0</v>
      </c>
      <c r="AC34" s="252">
        <v>0</v>
      </c>
      <c r="AD34" s="252">
        <v>0</v>
      </c>
      <c r="AE34" s="252">
        <v>0</v>
      </c>
      <c r="AF34" s="252">
        <v>0</v>
      </c>
      <c r="AG34" s="252">
        <v>0</v>
      </c>
      <c r="AH34" s="252">
        <v>0</v>
      </c>
      <c r="AI34" s="252">
        <v>0</v>
      </c>
      <c r="AJ34" s="252">
        <v>0</v>
      </c>
      <c r="AK34" s="252">
        <v>0</v>
      </c>
      <c r="AL34" s="252">
        <v>0</v>
      </c>
      <c r="AM34" s="252">
        <v>0</v>
      </c>
      <c r="AN34" s="252">
        <v>0</v>
      </c>
      <c r="AO34" s="252">
        <v>0</v>
      </c>
      <c r="AP34" s="252">
        <v>0</v>
      </c>
      <c r="AQ34" s="252">
        <v>0</v>
      </c>
      <c r="AR34" s="252">
        <v>0</v>
      </c>
      <c r="AS34" s="252">
        <v>0</v>
      </c>
      <c r="AT34" s="252">
        <v>0</v>
      </c>
      <c r="AU34" s="252">
        <v>0</v>
      </c>
      <c r="AV34" s="252">
        <v>0</v>
      </c>
      <c r="AW34" s="252">
        <v>0</v>
      </c>
      <c r="AX34" s="252">
        <v>0</v>
      </c>
      <c r="AY34" s="252">
        <v>0</v>
      </c>
      <c r="AZ34" s="252">
        <v>0</v>
      </c>
      <c r="BA34" s="252">
        <v>0</v>
      </c>
      <c r="BB34" s="252">
        <v>0</v>
      </c>
      <c r="BC34" s="252">
        <v>0</v>
      </c>
      <c r="BD34" s="252">
        <v>0</v>
      </c>
      <c r="BE34" s="252">
        <v>0</v>
      </c>
      <c r="BF34" s="252">
        <v>0</v>
      </c>
      <c r="BG34" s="252">
        <v>0</v>
      </c>
      <c r="BH34" s="252">
        <v>0</v>
      </c>
      <c r="BI34" s="252">
        <v>0</v>
      </c>
      <c r="BJ34" s="252">
        <v>0</v>
      </c>
      <c r="BK34" s="252">
        <v>0</v>
      </c>
      <c r="BL34" s="252">
        <v>0</v>
      </c>
      <c r="BM34" s="252">
        <v>0</v>
      </c>
      <c r="BN34" s="252">
        <v>0</v>
      </c>
      <c r="BO34" s="252">
        <v>0</v>
      </c>
      <c r="BP34" s="252">
        <v>3349477.9380983883</v>
      </c>
      <c r="BQ34" s="252">
        <v>0</v>
      </c>
      <c r="BR34" s="252">
        <v>0</v>
      </c>
      <c r="BS34" s="252">
        <v>0</v>
      </c>
      <c r="BT34" s="252">
        <v>0</v>
      </c>
      <c r="BU34" s="252">
        <v>0</v>
      </c>
      <c r="BV34" s="252">
        <v>0</v>
      </c>
      <c r="BW34" s="252">
        <v>0</v>
      </c>
      <c r="BX34" s="252">
        <v>0</v>
      </c>
      <c r="BY34" s="252">
        <v>0</v>
      </c>
      <c r="BZ34" s="252">
        <v>0</v>
      </c>
      <c r="CA34" s="252">
        <v>0</v>
      </c>
      <c r="CB34" s="252">
        <v>0</v>
      </c>
      <c r="CC34" s="252">
        <v>0</v>
      </c>
      <c r="CD34" s="252">
        <v>0</v>
      </c>
      <c r="CE34" s="252">
        <v>0</v>
      </c>
      <c r="CF34" s="252">
        <v>0</v>
      </c>
      <c r="CG34" s="252">
        <v>0</v>
      </c>
      <c r="CH34" s="252">
        <v>0</v>
      </c>
      <c r="CI34" s="252">
        <v>0</v>
      </c>
      <c r="CJ34" s="252">
        <v>0</v>
      </c>
      <c r="CK34" s="252">
        <v>0</v>
      </c>
      <c r="CL34" s="252">
        <v>0</v>
      </c>
      <c r="CM34" s="252">
        <v>0</v>
      </c>
      <c r="CN34" s="252">
        <v>0</v>
      </c>
      <c r="CO34" s="252">
        <v>0</v>
      </c>
      <c r="CP34" s="252">
        <v>0</v>
      </c>
      <c r="CQ34" s="252">
        <v>0</v>
      </c>
      <c r="CR34" s="252">
        <v>0</v>
      </c>
      <c r="CS34" s="252">
        <v>0</v>
      </c>
      <c r="CT34" s="252">
        <v>0</v>
      </c>
      <c r="CU34" s="252">
        <v>0</v>
      </c>
      <c r="CV34" s="252">
        <v>0</v>
      </c>
      <c r="CW34" s="252">
        <v>0</v>
      </c>
      <c r="CX34" s="252">
        <v>0</v>
      </c>
      <c r="CY34" s="252">
        <v>0</v>
      </c>
      <c r="CZ34" s="252">
        <v>0</v>
      </c>
      <c r="DA34" s="252">
        <v>0</v>
      </c>
      <c r="DB34" s="252">
        <v>0</v>
      </c>
      <c r="DC34" s="252">
        <v>0</v>
      </c>
      <c r="DD34" s="252">
        <v>0</v>
      </c>
      <c r="DE34" s="252">
        <v>0</v>
      </c>
      <c r="DF34" s="252">
        <v>0</v>
      </c>
      <c r="DG34" s="252">
        <v>0</v>
      </c>
      <c r="DH34" s="252">
        <v>0</v>
      </c>
      <c r="DI34" s="252">
        <v>0</v>
      </c>
      <c r="DJ34" s="252">
        <v>0</v>
      </c>
      <c r="DK34" s="252">
        <v>0</v>
      </c>
      <c r="DL34" s="252">
        <v>0</v>
      </c>
      <c r="DM34" s="252">
        <v>0</v>
      </c>
      <c r="DN34" s="252">
        <v>0</v>
      </c>
      <c r="DO34" s="252">
        <v>0</v>
      </c>
      <c r="DP34" s="252">
        <v>0</v>
      </c>
      <c r="DQ34" s="252">
        <v>0</v>
      </c>
      <c r="DR34" s="252">
        <v>0</v>
      </c>
      <c r="DS34" s="252">
        <v>0</v>
      </c>
      <c r="DT34" s="252">
        <v>0</v>
      </c>
      <c r="DU34" s="252">
        <v>0</v>
      </c>
      <c r="DV34" s="252">
        <v>0</v>
      </c>
      <c r="DW34" s="252">
        <v>0</v>
      </c>
      <c r="DX34" s="252">
        <v>0</v>
      </c>
      <c r="DY34" s="252">
        <v>0</v>
      </c>
      <c r="DZ34" s="252">
        <v>0</v>
      </c>
      <c r="EG34" s="252" t="str">
        <f>VLOOKUP(B34,'2022. tervsor'!C:D,2,0)</f>
        <v>ÁFA-s számlázott(okt.kut.)szellemi tev.kiad.</v>
      </c>
    </row>
    <row r="35" spans="1:137" s="252" customFormat="1" x14ac:dyDescent="0.3">
      <c r="A35" s="435"/>
      <c r="B35" s="435">
        <v>123</v>
      </c>
      <c r="C35" s="252">
        <v>0</v>
      </c>
      <c r="D35" s="252">
        <v>0</v>
      </c>
      <c r="E35" s="252">
        <v>0</v>
      </c>
      <c r="F35" s="252">
        <v>0</v>
      </c>
      <c r="G35" s="252">
        <v>0</v>
      </c>
      <c r="H35" s="252">
        <v>0</v>
      </c>
      <c r="I35" s="252">
        <v>0</v>
      </c>
      <c r="J35" s="252">
        <v>0</v>
      </c>
      <c r="K35" s="252">
        <v>0</v>
      </c>
      <c r="L35" s="252">
        <v>0</v>
      </c>
      <c r="M35" s="252">
        <v>0</v>
      </c>
      <c r="N35" s="252">
        <v>0</v>
      </c>
      <c r="O35" s="252">
        <v>1529.1249854129794</v>
      </c>
      <c r="P35" s="252">
        <v>8389.175567491593</v>
      </c>
      <c r="Q35" s="252">
        <v>343696.14347746799</v>
      </c>
      <c r="R35" s="252">
        <v>0</v>
      </c>
      <c r="S35" s="252">
        <v>0</v>
      </c>
      <c r="T35" s="252">
        <v>0</v>
      </c>
      <c r="U35" s="252">
        <v>0</v>
      </c>
      <c r="V35" s="252">
        <v>0</v>
      </c>
      <c r="W35" s="252">
        <v>0</v>
      </c>
      <c r="X35" s="252">
        <v>2114798.3438636251</v>
      </c>
      <c r="Y35" s="252">
        <v>13583.870580172192</v>
      </c>
      <c r="Z35" s="252">
        <v>12454.542644792282</v>
      </c>
      <c r="AA35" s="252">
        <v>49977.175528957334</v>
      </c>
      <c r="AB35" s="252">
        <v>0</v>
      </c>
      <c r="AC35" s="252">
        <v>7459.6075127167987</v>
      </c>
      <c r="AD35" s="252">
        <v>0</v>
      </c>
      <c r="AE35" s="252">
        <v>0</v>
      </c>
      <c r="AF35" s="252">
        <v>0</v>
      </c>
      <c r="AG35" s="252">
        <v>0</v>
      </c>
      <c r="AH35" s="252">
        <v>0</v>
      </c>
      <c r="AI35" s="252">
        <v>0</v>
      </c>
      <c r="AJ35" s="252">
        <v>0</v>
      </c>
      <c r="AK35" s="252">
        <v>0</v>
      </c>
      <c r="AL35" s="252">
        <v>0</v>
      </c>
      <c r="AM35" s="252">
        <v>0</v>
      </c>
      <c r="AN35" s="252">
        <v>0</v>
      </c>
      <c r="AO35" s="252">
        <v>0</v>
      </c>
      <c r="AP35" s="252">
        <v>0</v>
      </c>
      <c r="AQ35" s="252">
        <v>0</v>
      </c>
      <c r="AR35" s="252">
        <v>0</v>
      </c>
      <c r="AS35" s="252">
        <v>0</v>
      </c>
      <c r="AT35" s="252">
        <v>0</v>
      </c>
      <c r="AU35" s="252">
        <v>0</v>
      </c>
      <c r="AV35" s="252">
        <v>0</v>
      </c>
      <c r="AW35" s="252">
        <v>0</v>
      </c>
      <c r="AX35" s="252">
        <v>0</v>
      </c>
      <c r="AY35" s="252">
        <v>0</v>
      </c>
      <c r="AZ35" s="252">
        <v>0</v>
      </c>
      <c r="BA35" s="252">
        <v>0</v>
      </c>
      <c r="BB35" s="252">
        <v>0</v>
      </c>
      <c r="BC35" s="252">
        <v>0</v>
      </c>
      <c r="BD35" s="252">
        <v>0</v>
      </c>
      <c r="BE35" s="252">
        <v>0</v>
      </c>
      <c r="BF35" s="252">
        <v>0</v>
      </c>
      <c r="BG35" s="252">
        <v>0</v>
      </c>
      <c r="BH35" s="252">
        <v>0</v>
      </c>
      <c r="BI35" s="252">
        <v>0</v>
      </c>
      <c r="BJ35" s="252">
        <v>0</v>
      </c>
      <c r="BK35" s="252">
        <v>0</v>
      </c>
      <c r="BL35" s="252">
        <v>0</v>
      </c>
      <c r="BM35" s="252">
        <v>0</v>
      </c>
      <c r="BN35" s="252">
        <v>0</v>
      </c>
      <c r="BO35" s="252">
        <v>0</v>
      </c>
      <c r="BP35" s="252">
        <v>0</v>
      </c>
      <c r="BQ35" s="252">
        <v>0</v>
      </c>
      <c r="BR35" s="252">
        <v>0</v>
      </c>
      <c r="BS35" s="252">
        <v>0</v>
      </c>
      <c r="BT35" s="252">
        <v>0</v>
      </c>
      <c r="BU35" s="252">
        <v>2160107.8639910575</v>
      </c>
      <c r="BV35" s="252">
        <v>0</v>
      </c>
      <c r="BW35" s="252">
        <v>0</v>
      </c>
      <c r="BX35" s="252">
        <v>0</v>
      </c>
      <c r="BY35" s="252">
        <v>0</v>
      </c>
      <c r="BZ35" s="252">
        <v>0</v>
      </c>
      <c r="CA35" s="252">
        <v>0</v>
      </c>
      <c r="CB35" s="252">
        <v>0</v>
      </c>
      <c r="CC35" s="252">
        <v>0</v>
      </c>
      <c r="CD35" s="252">
        <v>0</v>
      </c>
      <c r="CE35" s="252">
        <v>0</v>
      </c>
      <c r="CF35" s="252">
        <v>0</v>
      </c>
      <c r="CG35" s="252">
        <v>0</v>
      </c>
      <c r="CH35" s="252">
        <v>0</v>
      </c>
      <c r="CI35" s="252">
        <v>0</v>
      </c>
      <c r="CJ35" s="252">
        <v>0</v>
      </c>
      <c r="CK35" s="252">
        <v>0</v>
      </c>
      <c r="CL35" s="252">
        <v>0</v>
      </c>
      <c r="CM35" s="252">
        <v>0</v>
      </c>
      <c r="CN35" s="252">
        <v>0</v>
      </c>
      <c r="CO35" s="252">
        <v>0</v>
      </c>
      <c r="CP35" s="252">
        <v>0</v>
      </c>
      <c r="CQ35" s="252">
        <v>0</v>
      </c>
      <c r="CR35" s="252">
        <v>0</v>
      </c>
      <c r="CS35" s="252">
        <v>0</v>
      </c>
      <c r="CT35" s="252">
        <v>0</v>
      </c>
      <c r="CU35" s="252">
        <v>0</v>
      </c>
      <c r="CV35" s="252">
        <v>0</v>
      </c>
      <c r="CW35" s="252">
        <v>0</v>
      </c>
      <c r="CX35" s="252">
        <v>0</v>
      </c>
      <c r="CY35" s="252">
        <v>0</v>
      </c>
      <c r="CZ35" s="252">
        <v>0</v>
      </c>
      <c r="DA35" s="252">
        <v>0</v>
      </c>
      <c r="DB35" s="252">
        <v>0</v>
      </c>
      <c r="DC35" s="252">
        <v>0</v>
      </c>
      <c r="DD35" s="252">
        <v>0</v>
      </c>
      <c r="DE35" s="252">
        <v>0</v>
      </c>
      <c r="DF35" s="252">
        <v>0</v>
      </c>
      <c r="DG35" s="252">
        <v>0</v>
      </c>
      <c r="DH35" s="252">
        <v>22595.535528077256</v>
      </c>
      <c r="DI35" s="252">
        <v>8842.1969697773893</v>
      </c>
      <c r="DJ35" s="252">
        <v>93541.312592328366</v>
      </c>
      <c r="DK35" s="252">
        <v>0</v>
      </c>
      <c r="DL35" s="252">
        <v>63755.039371525825</v>
      </c>
      <c r="DM35" s="252">
        <v>30860.431338174927</v>
      </c>
      <c r="DN35" s="252">
        <v>7865.7299700977928</v>
      </c>
      <c r="DO35" s="252">
        <v>804.9718005116514</v>
      </c>
      <c r="DP35" s="252">
        <v>1707.4387284558134</v>
      </c>
      <c r="DQ35" s="252">
        <v>598.9425772732809</v>
      </c>
      <c r="DR35" s="252">
        <v>96262.951947542548</v>
      </c>
      <c r="DS35" s="252">
        <v>4034.0903656049964</v>
      </c>
      <c r="DT35" s="252">
        <v>0</v>
      </c>
      <c r="DU35" s="252">
        <v>0</v>
      </c>
      <c r="DV35" s="252">
        <v>0</v>
      </c>
      <c r="DW35" s="252">
        <v>0</v>
      </c>
      <c r="DX35" s="252">
        <v>56040.497788469409</v>
      </c>
      <c r="DY35" s="252">
        <v>69022.382285493892</v>
      </c>
      <c r="DZ35" s="252">
        <v>34281.904782610305</v>
      </c>
      <c r="EG35" s="252" t="str">
        <f>VLOOKUP(B35,'2022. tervsor'!C:D,2,0)</f>
        <v>Anyag- és áruszállítás költségei</v>
      </c>
    </row>
    <row r="36" spans="1:137" s="252" customFormat="1" x14ac:dyDescent="0.3">
      <c r="A36" s="435"/>
      <c r="B36" s="435">
        <v>124</v>
      </c>
      <c r="C36" s="252">
        <v>0</v>
      </c>
      <c r="D36" s="252">
        <v>0</v>
      </c>
      <c r="E36" s="252">
        <v>0</v>
      </c>
      <c r="F36" s="252">
        <v>0</v>
      </c>
      <c r="G36" s="252">
        <v>0</v>
      </c>
      <c r="H36" s="252">
        <v>0</v>
      </c>
      <c r="I36" s="252">
        <v>0</v>
      </c>
      <c r="J36" s="252">
        <v>0</v>
      </c>
      <c r="K36" s="252">
        <v>0</v>
      </c>
      <c r="L36" s="252">
        <v>0</v>
      </c>
      <c r="M36" s="252">
        <v>0</v>
      </c>
      <c r="N36" s="252">
        <v>0</v>
      </c>
      <c r="O36" s="252">
        <v>0</v>
      </c>
      <c r="P36" s="252">
        <v>0</v>
      </c>
      <c r="Q36" s="252">
        <v>0</v>
      </c>
      <c r="R36" s="252">
        <v>0</v>
      </c>
      <c r="S36" s="252">
        <v>0</v>
      </c>
      <c r="T36" s="252">
        <v>0</v>
      </c>
      <c r="U36" s="252">
        <v>0</v>
      </c>
      <c r="V36" s="252">
        <v>0</v>
      </c>
      <c r="W36" s="252">
        <v>0</v>
      </c>
      <c r="X36" s="252">
        <v>3021140.4912337512</v>
      </c>
      <c r="Y36" s="252">
        <v>19405.529400245989</v>
      </c>
      <c r="Z36" s="252">
        <v>17792.203778274688</v>
      </c>
      <c r="AA36" s="252">
        <v>71395.965041367599</v>
      </c>
      <c r="AB36" s="252">
        <v>0</v>
      </c>
      <c r="AC36" s="252">
        <v>10656.582161023998</v>
      </c>
      <c r="AD36" s="252">
        <v>0</v>
      </c>
      <c r="AE36" s="252">
        <v>0</v>
      </c>
      <c r="AF36" s="252">
        <v>0</v>
      </c>
      <c r="AG36" s="252">
        <v>0</v>
      </c>
      <c r="AH36" s="252">
        <v>0</v>
      </c>
      <c r="AI36" s="252">
        <v>0</v>
      </c>
      <c r="AJ36" s="252">
        <v>0</v>
      </c>
      <c r="AK36" s="252">
        <v>0</v>
      </c>
      <c r="AL36" s="252">
        <v>0</v>
      </c>
      <c r="AM36" s="252">
        <v>0</v>
      </c>
      <c r="AN36" s="252">
        <v>0</v>
      </c>
      <c r="AO36" s="252">
        <v>0</v>
      </c>
      <c r="AP36" s="252">
        <v>0</v>
      </c>
      <c r="AQ36" s="252">
        <v>0</v>
      </c>
      <c r="AR36" s="252">
        <v>0</v>
      </c>
      <c r="AS36" s="252">
        <v>0</v>
      </c>
      <c r="AT36" s="252">
        <v>0</v>
      </c>
      <c r="AU36" s="252">
        <v>0</v>
      </c>
      <c r="AV36" s="252">
        <v>0</v>
      </c>
      <c r="AW36" s="252">
        <v>0</v>
      </c>
      <c r="AX36" s="252">
        <v>0</v>
      </c>
      <c r="AY36" s="252">
        <v>0</v>
      </c>
      <c r="AZ36" s="252">
        <v>0</v>
      </c>
      <c r="BA36" s="252">
        <v>0</v>
      </c>
      <c r="BB36" s="252">
        <v>0</v>
      </c>
      <c r="BC36" s="252">
        <v>0</v>
      </c>
      <c r="BD36" s="252">
        <v>0</v>
      </c>
      <c r="BE36" s="252">
        <v>0</v>
      </c>
      <c r="BF36" s="252">
        <v>0</v>
      </c>
      <c r="BG36" s="252">
        <v>0</v>
      </c>
      <c r="BH36" s="252">
        <v>0</v>
      </c>
      <c r="BI36" s="252">
        <v>0</v>
      </c>
      <c r="BJ36" s="252">
        <v>0</v>
      </c>
      <c r="BK36" s="252">
        <v>0</v>
      </c>
      <c r="BL36" s="252">
        <v>0</v>
      </c>
      <c r="BM36" s="252">
        <v>0</v>
      </c>
      <c r="BN36" s="252">
        <v>0</v>
      </c>
      <c r="BO36" s="252">
        <v>0</v>
      </c>
      <c r="BP36" s="252">
        <v>0</v>
      </c>
      <c r="BQ36" s="252">
        <v>0</v>
      </c>
      <c r="BR36" s="252">
        <v>0</v>
      </c>
      <c r="BS36" s="252">
        <v>0</v>
      </c>
      <c r="BT36" s="252">
        <v>0</v>
      </c>
      <c r="BU36" s="252">
        <v>504025.16826457996</v>
      </c>
      <c r="BV36" s="252">
        <v>0</v>
      </c>
      <c r="BW36" s="252">
        <v>0</v>
      </c>
      <c r="BX36" s="252">
        <v>0</v>
      </c>
      <c r="BY36" s="252">
        <v>0</v>
      </c>
      <c r="BZ36" s="252">
        <v>0</v>
      </c>
      <c r="CA36" s="252">
        <v>0</v>
      </c>
      <c r="CB36" s="252">
        <v>233465.33360505244</v>
      </c>
      <c r="CC36" s="252">
        <v>0</v>
      </c>
      <c r="CD36" s="252">
        <v>0</v>
      </c>
      <c r="CE36" s="252">
        <v>0</v>
      </c>
      <c r="CF36" s="252">
        <v>0</v>
      </c>
      <c r="CG36" s="252">
        <v>0</v>
      </c>
      <c r="CH36" s="252">
        <v>0</v>
      </c>
      <c r="CI36" s="252">
        <v>0</v>
      </c>
      <c r="CJ36" s="252">
        <v>0</v>
      </c>
      <c r="CK36" s="252">
        <v>0</v>
      </c>
      <c r="CL36" s="252">
        <v>0</v>
      </c>
      <c r="CM36" s="252">
        <v>0</v>
      </c>
      <c r="CN36" s="252">
        <v>0</v>
      </c>
      <c r="CO36" s="252">
        <v>0</v>
      </c>
      <c r="CP36" s="252">
        <v>0</v>
      </c>
      <c r="CQ36" s="252">
        <v>0</v>
      </c>
      <c r="CR36" s="252">
        <v>0</v>
      </c>
      <c r="CS36" s="252">
        <v>0</v>
      </c>
      <c r="CT36" s="252">
        <v>0</v>
      </c>
      <c r="CU36" s="252">
        <v>0</v>
      </c>
      <c r="CV36" s="252">
        <v>0</v>
      </c>
      <c r="CW36" s="252">
        <v>0</v>
      </c>
      <c r="CX36" s="252">
        <v>0</v>
      </c>
      <c r="CY36" s="252">
        <v>0</v>
      </c>
      <c r="CZ36" s="252">
        <v>0</v>
      </c>
      <c r="DA36" s="252">
        <v>0</v>
      </c>
      <c r="DB36" s="252">
        <v>0</v>
      </c>
      <c r="DC36" s="252">
        <v>0</v>
      </c>
      <c r="DD36" s="252">
        <v>0</v>
      </c>
      <c r="DE36" s="252">
        <v>0</v>
      </c>
      <c r="DF36" s="252">
        <v>0</v>
      </c>
      <c r="DG36" s="252">
        <v>0</v>
      </c>
      <c r="DH36" s="252">
        <v>9038.2142112309029</v>
      </c>
      <c r="DI36" s="252">
        <v>3536.8787879109559</v>
      </c>
      <c r="DJ36" s="252">
        <v>37416.525036931343</v>
      </c>
      <c r="DK36" s="252">
        <v>0</v>
      </c>
      <c r="DL36" s="252">
        <v>25502.015748610331</v>
      </c>
      <c r="DM36" s="252">
        <v>12344.172535269972</v>
      </c>
      <c r="DN36" s="252">
        <v>3146.2919880391173</v>
      </c>
      <c r="DO36" s="252">
        <v>321.98872020466058</v>
      </c>
      <c r="DP36" s="252">
        <v>682.97549138232523</v>
      </c>
      <c r="DQ36" s="252">
        <v>239.57703090931236</v>
      </c>
      <c r="DR36" s="252">
        <v>38505.180779017035</v>
      </c>
      <c r="DS36" s="252">
        <v>1613.6361462419989</v>
      </c>
      <c r="DT36" s="252">
        <v>0</v>
      </c>
      <c r="DU36" s="252">
        <v>0</v>
      </c>
      <c r="DV36" s="252">
        <v>0</v>
      </c>
      <c r="DW36" s="252">
        <v>0</v>
      </c>
      <c r="DX36" s="252">
        <v>28020.248894234704</v>
      </c>
      <c r="DY36" s="252">
        <v>34511.191142746946</v>
      </c>
      <c r="DZ36" s="252">
        <v>17140.952391305153</v>
      </c>
      <c r="EG36" s="252" t="str">
        <f>VLOOKUP(B36,'2022. tervsor'!C:D,2,0)</f>
        <v>Egyéb szállítás költségei</v>
      </c>
    </row>
    <row r="37" spans="1:137" s="252" customFormat="1" x14ac:dyDescent="0.3">
      <c r="A37" s="435"/>
      <c r="B37" s="435">
        <v>126</v>
      </c>
      <c r="C37" s="252">
        <v>590551.18110236223</v>
      </c>
      <c r="D37" s="252">
        <v>12111136.005568238</v>
      </c>
      <c r="E37" s="252">
        <v>972495.70040664263</v>
      </c>
      <c r="F37" s="252">
        <v>387781.69936675427</v>
      </c>
      <c r="G37" s="252">
        <v>12061453.683965195</v>
      </c>
      <c r="H37" s="252">
        <v>5743851.1739654047</v>
      </c>
      <c r="I37" s="252">
        <v>60001.759241492393</v>
      </c>
      <c r="J37" s="252">
        <v>219085.09649124311</v>
      </c>
      <c r="K37" s="252">
        <v>338269.22608373669</v>
      </c>
      <c r="L37" s="252">
        <v>1519729.2292148841</v>
      </c>
      <c r="M37" s="252">
        <v>37676920.061454833</v>
      </c>
      <c r="N37" s="252">
        <v>2383764.5055193156</v>
      </c>
      <c r="O37" s="252">
        <v>65427.083614611227</v>
      </c>
      <c r="P37" s="252">
        <v>358949.92008366605</v>
      </c>
      <c r="Q37" s="252">
        <v>14705819.688929163</v>
      </c>
      <c r="R37" s="252">
        <v>711485.20621751994</v>
      </c>
      <c r="S37" s="252">
        <v>656163.10798407008</v>
      </c>
      <c r="T37" s="252">
        <v>8255118.0941174319</v>
      </c>
      <c r="U37" s="252">
        <v>0</v>
      </c>
      <c r="V37" s="252">
        <v>0</v>
      </c>
      <c r="W37" s="252">
        <v>0</v>
      </c>
      <c r="X37" s="252">
        <v>0</v>
      </c>
      <c r="Y37" s="252">
        <v>0</v>
      </c>
      <c r="Z37" s="252">
        <v>0</v>
      </c>
      <c r="AA37" s="252">
        <v>0</v>
      </c>
      <c r="AB37" s="252">
        <v>0</v>
      </c>
      <c r="AC37" s="252">
        <v>0</v>
      </c>
      <c r="AD37" s="252">
        <v>0</v>
      </c>
      <c r="AE37" s="252">
        <v>0</v>
      </c>
      <c r="AF37" s="252">
        <v>0</v>
      </c>
      <c r="AG37" s="252">
        <v>0</v>
      </c>
      <c r="AH37" s="252">
        <v>0</v>
      </c>
      <c r="AI37" s="252">
        <v>0</v>
      </c>
      <c r="AJ37" s="252">
        <v>0</v>
      </c>
      <c r="AK37" s="252">
        <v>0</v>
      </c>
      <c r="AL37" s="252">
        <v>0</v>
      </c>
      <c r="AM37" s="252">
        <v>0</v>
      </c>
      <c r="AN37" s="252">
        <v>18727741.277940001</v>
      </c>
      <c r="AO37" s="252">
        <v>0</v>
      </c>
      <c r="AP37" s="252">
        <v>0</v>
      </c>
      <c r="AQ37" s="252">
        <v>13967941.016536305</v>
      </c>
      <c r="AR37" s="252">
        <v>0</v>
      </c>
      <c r="AS37" s="252">
        <v>0</v>
      </c>
      <c r="AT37" s="252">
        <v>0</v>
      </c>
      <c r="AU37" s="252">
        <v>14626423.531631993</v>
      </c>
      <c r="AV37" s="252">
        <v>5832663.6265825722</v>
      </c>
      <c r="AW37" s="252">
        <v>117967470.71330792</v>
      </c>
      <c r="AX37" s="252">
        <v>24941346.874597464</v>
      </c>
      <c r="AY37" s="252">
        <v>9342663.0214202106</v>
      </c>
      <c r="AZ37" s="252">
        <v>1694699.0251772408</v>
      </c>
      <c r="BA37" s="252">
        <v>0</v>
      </c>
      <c r="BB37" s="252">
        <v>314938.45057730644</v>
      </c>
      <c r="BC37" s="252">
        <v>1984793.8646302794</v>
      </c>
      <c r="BD37" s="252">
        <v>0</v>
      </c>
      <c r="BE37" s="252">
        <v>0</v>
      </c>
      <c r="BF37" s="252">
        <v>0</v>
      </c>
      <c r="BG37" s="252">
        <v>0</v>
      </c>
      <c r="BH37" s="252">
        <v>0</v>
      </c>
      <c r="BI37" s="252">
        <v>2209685.1237176214</v>
      </c>
      <c r="BJ37" s="252">
        <v>101707.41900307077</v>
      </c>
      <c r="BK37" s="252">
        <v>2149493.2839517351</v>
      </c>
      <c r="BL37" s="252">
        <v>1709661.7045384259</v>
      </c>
      <c r="BM37" s="252">
        <v>78538.237441243371</v>
      </c>
      <c r="BN37" s="252">
        <v>39659739.148938924</v>
      </c>
      <c r="BO37" s="252">
        <v>541258.55493851146</v>
      </c>
      <c r="BP37" s="252">
        <v>26566716.017511643</v>
      </c>
      <c r="BQ37" s="252">
        <v>5778062.4386338228</v>
      </c>
      <c r="BR37" s="252">
        <v>513488.30461171234</v>
      </c>
      <c r="BS37" s="252">
        <v>1171720.82680783</v>
      </c>
      <c r="BT37" s="252">
        <v>271787.16123957775</v>
      </c>
      <c r="BU37" s="252">
        <v>15192758.64340377</v>
      </c>
      <c r="BV37" s="252">
        <v>2855450.7982359305</v>
      </c>
      <c r="BW37" s="252">
        <v>2832965.7517184429</v>
      </c>
      <c r="BX37" s="252">
        <v>5931525.2452711146</v>
      </c>
      <c r="BY37" s="252">
        <v>9771703.1580137294</v>
      </c>
      <c r="BZ37" s="252">
        <v>1039898.2284235592</v>
      </c>
      <c r="CA37" s="252">
        <v>0</v>
      </c>
      <c r="CB37" s="252">
        <v>1374980.8525647188</v>
      </c>
      <c r="CC37" s="252">
        <v>0</v>
      </c>
      <c r="CD37" s="252">
        <v>0</v>
      </c>
      <c r="CE37" s="252">
        <v>0</v>
      </c>
      <c r="CF37" s="252">
        <v>812095.65154519142</v>
      </c>
      <c r="CG37" s="252">
        <v>416832.90044930711</v>
      </c>
      <c r="CH37" s="252">
        <v>1304895.1320466092</v>
      </c>
      <c r="CI37" s="252">
        <v>0</v>
      </c>
      <c r="CJ37" s="252">
        <v>0</v>
      </c>
      <c r="CK37" s="252">
        <v>0</v>
      </c>
      <c r="CL37" s="252">
        <v>0</v>
      </c>
      <c r="CM37" s="252">
        <v>14273164.388368132</v>
      </c>
      <c r="CN37" s="252">
        <v>912300.6871948539</v>
      </c>
      <c r="CO37" s="252">
        <v>2304106.1522701443</v>
      </c>
      <c r="CP37" s="252">
        <v>8591199.8888744842</v>
      </c>
      <c r="CQ37" s="252">
        <v>2356544.2857089415</v>
      </c>
      <c r="CR37" s="252">
        <v>4003563.7880017799</v>
      </c>
      <c r="CS37" s="252">
        <v>3472858.5511859157</v>
      </c>
      <c r="CT37" s="252">
        <v>1921320.8406082878</v>
      </c>
      <c r="CU37" s="252">
        <v>862494.65290584706</v>
      </c>
      <c r="CV37" s="252">
        <v>1064384.515086734</v>
      </c>
      <c r="CW37" s="252">
        <v>23045322.991130766</v>
      </c>
      <c r="CX37" s="252">
        <v>0</v>
      </c>
      <c r="CY37" s="252">
        <v>0</v>
      </c>
      <c r="CZ37" s="252">
        <v>0</v>
      </c>
      <c r="DA37" s="252">
        <v>0</v>
      </c>
      <c r="DB37" s="252">
        <v>0</v>
      </c>
      <c r="DC37" s="252">
        <v>6361.5424323086027</v>
      </c>
      <c r="DD37" s="252">
        <v>0</v>
      </c>
      <c r="DE37" s="252">
        <v>0</v>
      </c>
      <c r="DF37" s="252">
        <v>0</v>
      </c>
      <c r="DG37" s="252">
        <v>0</v>
      </c>
      <c r="DH37" s="252">
        <v>12011.172088159507</v>
      </c>
      <c r="DI37" s="252">
        <v>4700.2714013760824</v>
      </c>
      <c r="DJ37" s="252">
        <v>49724.017450379244</v>
      </c>
      <c r="DK37" s="252">
        <v>0</v>
      </c>
      <c r="DL37" s="252">
        <v>33890.444792832226</v>
      </c>
      <c r="DM37" s="252">
        <v>16404.565895641394</v>
      </c>
      <c r="DN37" s="252">
        <v>4181.2081042487998</v>
      </c>
      <c r="DO37" s="252">
        <v>427.90111391902002</v>
      </c>
      <c r="DP37" s="252">
        <v>907.62798571369638</v>
      </c>
      <c r="DQ37" s="252">
        <v>318.38158284037428</v>
      </c>
      <c r="DR37" s="252">
        <v>51170.766903020667</v>
      </c>
      <c r="DS37" s="252">
        <v>2144.4127110976729</v>
      </c>
      <c r="DT37" s="252">
        <v>0</v>
      </c>
      <c r="DU37" s="252">
        <v>0</v>
      </c>
      <c r="DV37" s="252">
        <v>0</v>
      </c>
      <c r="DW37" s="252">
        <v>0</v>
      </c>
      <c r="DX37" s="252">
        <v>28020.248894234704</v>
      </c>
      <c r="DY37" s="252">
        <v>34511.191142746946</v>
      </c>
      <c r="DZ37" s="252">
        <v>17140.952391305153</v>
      </c>
      <c r="EG37" s="252" t="str">
        <f>VLOOKUP(B37,'2022. tervsor'!C:D,2,0)</f>
        <v>Takarítás</v>
      </c>
    </row>
    <row r="38" spans="1:137" s="252" customFormat="1" x14ac:dyDescent="0.3">
      <c r="A38" s="435"/>
      <c r="B38" s="435">
        <v>127</v>
      </c>
      <c r="C38" s="252">
        <v>39370.078740157485</v>
      </c>
      <c r="D38" s="252">
        <v>0</v>
      </c>
      <c r="E38" s="252">
        <v>0</v>
      </c>
      <c r="F38" s="252">
        <v>0</v>
      </c>
      <c r="G38" s="252">
        <v>95499.35881003653</v>
      </c>
      <c r="H38" s="252">
        <v>45478.274724315117</v>
      </c>
      <c r="I38" s="252">
        <v>475.07785422701483</v>
      </c>
      <c r="J38" s="252">
        <v>1734.6570975572865</v>
      </c>
      <c r="K38" s="252">
        <v>2888.2715359502117</v>
      </c>
      <c r="L38" s="252">
        <v>12976.027189675053</v>
      </c>
      <c r="M38" s="252">
        <v>321699.89873342309</v>
      </c>
      <c r="N38" s="252">
        <v>69694.434182413883</v>
      </c>
      <c r="O38" s="252">
        <v>550.48499474867265</v>
      </c>
      <c r="P38" s="252">
        <v>3020.1032042969732</v>
      </c>
      <c r="Q38" s="252">
        <v>123730.61165188847</v>
      </c>
      <c r="R38" s="252">
        <v>34118.658451788964</v>
      </c>
      <c r="S38" s="252">
        <v>0</v>
      </c>
      <c r="T38" s="252">
        <v>76980.621387219231</v>
      </c>
      <c r="U38" s="252">
        <v>0</v>
      </c>
      <c r="V38" s="252">
        <v>0</v>
      </c>
      <c r="W38" s="252">
        <v>0</v>
      </c>
      <c r="X38" s="252">
        <v>0</v>
      </c>
      <c r="Y38" s="252">
        <v>0</v>
      </c>
      <c r="Z38" s="252">
        <v>0</v>
      </c>
      <c r="AA38" s="252">
        <v>0</v>
      </c>
      <c r="AB38" s="252">
        <v>0</v>
      </c>
      <c r="AC38" s="252">
        <v>0</v>
      </c>
      <c r="AD38" s="252">
        <v>0</v>
      </c>
      <c r="AE38" s="252">
        <v>0</v>
      </c>
      <c r="AF38" s="252">
        <v>0</v>
      </c>
      <c r="AG38" s="252">
        <v>0</v>
      </c>
      <c r="AH38" s="252">
        <v>0</v>
      </c>
      <c r="AI38" s="252">
        <v>0</v>
      </c>
      <c r="AJ38" s="252">
        <v>0</v>
      </c>
      <c r="AK38" s="252">
        <v>0</v>
      </c>
      <c r="AL38" s="252">
        <v>0</v>
      </c>
      <c r="AM38" s="252">
        <v>0</v>
      </c>
      <c r="AN38" s="252">
        <v>104616.13943466521</v>
      </c>
      <c r="AO38" s="252">
        <v>0</v>
      </c>
      <c r="AP38" s="252">
        <v>0</v>
      </c>
      <c r="AQ38" s="252">
        <v>0</v>
      </c>
      <c r="AR38" s="252">
        <v>0</v>
      </c>
      <c r="AS38" s="252">
        <v>0</v>
      </c>
      <c r="AT38" s="252">
        <v>0</v>
      </c>
      <c r="AU38" s="252">
        <v>0</v>
      </c>
      <c r="AV38" s="252">
        <v>0</v>
      </c>
      <c r="AW38" s="252">
        <v>0</v>
      </c>
      <c r="AX38" s="252">
        <v>0</v>
      </c>
      <c r="AY38" s="252">
        <v>0</v>
      </c>
      <c r="AZ38" s="252">
        <v>0</v>
      </c>
      <c r="BA38" s="252">
        <v>0</v>
      </c>
      <c r="BB38" s="252">
        <v>0</v>
      </c>
      <c r="BC38" s="252">
        <v>0</v>
      </c>
      <c r="BD38" s="252">
        <v>0</v>
      </c>
      <c r="BE38" s="252">
        <v>0</v>
      </c>
      <c r="BF38" s="252">
        <v>0</v>
      </c>
      <c r="BG38" s="252">
        <v>0</v>
      </c>
      <c r="BH38" s="252">
        <v>0</v>
      </c>
      <c r="BI38" s="252">
        <v>0</v>
      </c>
      <c r="BJ38" s="252">
        <v>0</v>
      </c>
      <c r="BK38" s="252">
        <v>0</v>
      </c>
      <c r="BL38" s="252">
        <v>0</v>
      </c>
      <c r="BM38" s="252">
        <v>0</v>
      </c>
      <c r="BN38" s="252">
        <v>0</v>
      </c>
      <c r="BO38" s="252">
        <v>0</v>
      </c>
      <c r="BP38" s="252">
        <v>0</v>
      </c>
      <c r="BQ38" s="252">
        <v>0</v>
      </c>
      <c r="BR38" s="252">
        <v>0</v>
      </c>
      <c r="BS38" s="252">
        <v>0</v>
      </c>
      <c r="BT38" s="252">
        <v>0</v>
      </c>
      <c r="BU38" s="252">
        <v>0</v>
      </c>
      <c r="BV38" s="252">
        <v>0</v>
      </c>
      <c r="BW38" s="252">
        <v>0</v>
      </c>
      <c r="BX38" s="252">
        <v>0</v>
      </c>
      <c r="BY38" s="252">
        <v>0</v>
      </c>
      <c r="BZ38" s="252">
        <v>18582.840434444268</v>
      </c>
      <c r="CA38" s="252">
        <v>0</v>
      </c>
      <c r="CB38" s="252">
        <v>0</v>
      </c>
      <c r="CC38" s="252">
        <v>0</v>
      </c>
      <c r="CD38" s="252">
        <v>361160.95352084574</v>
      </c>
      <c r="CE38" s="252">
        <v>37318.695898424528</v>
      </c>
      <c r="CF38" s="252">
        <v>17030.944525824922</v>
      </c>
      <c r="CG38" s="252">
        <v>8741.6525265014334</v>
      </c>
      <c r="CH38" s="252">
        <v>27365.737722667865</v>
      </c>
      <c r="CI38" s="252">
        <v>0</v>
      </c>
      <c r="CJ38" s="252">
        <v>0</v>
      </c>
      <c r="CK38" s="252">
        <v>0</v>
      </c>
      <c r="CL38" s="252">
        <v>85980.688836429981</v>
      </c>
      <c r="CM38" s="252">
        <v>274147.58023240918</v>
      </c>
      <c r="CN38" s="252">
        <v>10158.266351939923</v>
      </c>
      <c r="CO38" s="252">
        <v>25655.712339614245</v>
      </c>
      <c r="CP38" s="252">
        <v>95661.110398027944</v>
      </c>
      <c r="CQ38" s="252">
        <v>26239.599356194012</v>
      </c>
      <c r="CR38" s="252">
        <v>44578.797195202882</v>
      </c>
      <c r="CS38" s="252">
        <v>38669.51177471142</v>
      </c>
      <c r="CT38" s="252">
        <v>21393.482565977167</v>
      </c>
      <c r="CU38" s="252">
        <v>9603.6871771754486</v>
      </c>
      <c r="CV38" s="252">
        <v>11851.686134729518</v>
      </c>
      <c r="CW38" s="252">
        <v>265379.72855368385</v>
      </c>
      <c r="CX38" s="252">
        <v>0</v>
      </c>
      <c r="CY38" s="252">
        <v>0</v>
      </c>
      <c r="CZ38" s="252">
        <v>0</v>
      </c>
      <c r="DA38" s="252">
        <v>0</v>
      </c>
      <c r="DB38" s="252">
        <v>9522.2375414241833</v>
      </c>
      <c r="DC38" s="252">
        <v>0</v>
      </c>
      <c r="DD38" s="252">
        <v>0</v>
      </c>
      <c r="DE38" s="252">
        <v>0</v>
      </c>
      <c r="DF38" s="252">
        <v>0</v>
      </c>
      <c r="DG38" s="252">
        <v>0</v>
      </c>
      <c r="DH38" s="252">
        <v>0</v>
      </c>
      <c r="DI38" s="252">
        <v>0</v>
      </c>
      <c r="DJ38" s="252">
        <v>0</v>
      </c>
      <c r="DK38" s="252">
        <v>0</v>
      </c>
      <c r="DL38" s="252">
        <v>0</v>
      </c>
      <c r="DM38" s="252">
        <v>0</v>
      </c>
      <c r="DN38" s="252">
        <v>0</v>
      </c>
      <c r="DO38" s="252">
        <v>0</v>
      </c>
      <c r="DP38" s="252">
        <v>0</v>
      </c>
      <c r="DQ38" s="252">
        <v>0</v>
      </c>
      <c r="DR38" s="252">
        <v>0</v>
      </c>
      <c r="DS38" s="252">
        <v>0</v>
      </c>
      <c r="DT38" s="252">
        <v>0</v>
      </c>
      <c r="DU38" s="252">
        <v>0</v>
      </c>
      <c r="DV38" s="252">
        <v>0</v>
      </c>
      <c r="DW38" s="252">
        <v>0</v>
      </c>
      <c r="DX38" s="252">
        <v>0</v>
      </c>
      <c r="DY38" s="252">
        <v>0</v>
      </c>
      <c r="DZ38" s="252">
        <v>0</v>
      </c>
      <c r="EG38" s="252" t="str">
        <f>VLOOKUP(B38,'2022. tervsor'!C:D,2,0)</f>
        <v>Rovarirtás</v>
      </c>
    </row>
    <row r="39" spans="1:137" s="252" customFormat="1" x14ac:dyDescent="0.3">
      <c r="A39" s="435"/>
      <c r="B39" s="435">
        <v>128</v>
      </c>
      <c r="C39" s="252">
        <v>0</v>
      </c>
      <c r="D39" s="252">
        <v>839595.64626367483</v>
      </c>
      <c r="E39" s="252">
        <v>63322.933670895814</v>
      </c>
      <c r="F39" s="252">
        <v>23868.821640232283</v>
      </c>
      <c r="G39" s="252">
        <v>815325.77007874008</v>
      </c>
      <c r="H39" s="252">
        <v>402349.30393700791</v>
      </c>
      <c r="I39" s="252">
        <v>4077.8645669291336</v>
      </c>
      <c r="J39" s="252">
        <v>13963.596850393698</v>
      </c>
      <c r="K39" s="252">
        <v>19524.346141732283</v>
      </c>
      <c r="L39" s="252">
        <v>102317.45952755904</v>
      </c>
      <c r="M39" s="252">
        <v>2349594.4148031492</v>
      </c>
      <c r="N39" s="252">
        <v>61785.826771653534</v>
      </c>
      <c r="O39" s="252">
        <v>4788.0128045326965</v>
      </c>
      <c r="P39" s="252">
        <v>8951.6169913251179</v>
      </c>
      <c r="Q39" s="252">
        <v>913047.77177894523</v>
      </c>
      <c r="R39" s="252">
        <v>370714.96062992123</v>
      </c>
      <c r="S39" s="252">
        <v>0</v>
      </c>
      <c r="T39" s="252">
        <v>1235725.9842519683</v>
      </c>
      <c r="U39" s="252">
        <v>382763.75433070865</v>
      </c>
      <c r="V39" s="252">
        <v>1541867.5527559051</v>
      </c>
      <c r="W39" s="252">
        <v>237875.77952755903</v>
      </c>
      <c r="X39" s="252">
        <v>14981683.199210547</v>
      </c>
      <c r="Y39" s="252">
        <v>108845.67113778001</v>
      </c>
      <c r="Z39" s="252">
        <v>167303.27613745164</v>
      </c>
      <c r="AA39" s="252">
        <v>472380.93086064962</v>
      </c>
      <c r="AB39" s="252">
        <v>0</v>
      </c>
      <c r="AC39" s="252">
        <v>59894.872382819231</v>
      </c>
      <c r="AD39" s="252">
        <v>0</v>
      </c>
      <c r="AE39" s="252">
        <v>0</v>
      </c>
      <c r="AF39" s="252">
        <v>0</v>
      </c>
      <c r="AG39" s="252">
        <v>0</v>
      </c>
      <c r="AH39" s="252">
        <v>0</v>
      </c>
      <c r="AI39" s="252">
        <v>0</v>
      </c>
      <c r="AJ39" s="252">
        <v>0</v>
      </c>
      <c r="AK39" s="252">
        <v>0</v>
      </c>
      <c r="AL39" s="252">
        <v>512823.40787401586</v>
      </c>
      <c r="AM39" s="252">
        <v>1031825.4110236218</v>
      </c>
      <c r="AN39" s="252">
        <v>1544655.118110236</v>
      </c>
      <c r="AO39" s="252">
        <v>0</v>
      </c>
      <c r="AP39" s="252">
        <v>0</v>
      </c>
      <c r="AQ39" s="252">
        <v>1112144.881889764</v>
      </c>
      <c r="AR39" s="252">
        <v>224282.93228346456</v>
      </c>
      <c r="AS39" s="252">
        <v>785917.05196850374</v>
      </c>
      <c r="AT39" s="252">
        <v>843377.96850393689</v>
      </c>
      <c r="AU39" s="252">
        <v>1698718.1102362201</v>
      </c>
      <c r="AV39" s="252">
        <v>792710.54079300945</v>
      </c>
      <c r="AW39" s="252">
        <v>12485949.288500827</v>
      </c>
      <c r="AX39" s="252">
        <v>2575899.5612507905</v>
      </c>
      <c r="AY39" s="252">
        <v>955596.9758792799</v>
      </c>
      <c r="AZ39" s="252">
        <v>177062.53121388666</v>
      </c>
      <c r="BA39" s="252">
        <v>0</v>
      </c>
      <c r="BB39" s="252">
        <v>38059.711623138435</v>
      </c>
      <c r="BC39" s="252">
        <v>144810.91253462847</v>
      </c>
      <c r="BD39" s="252">
        <v>0</v>
      </c>
      <c r="BE39" s="252">
        <v>0</v>
      </c>
      <c r="BF39" s="252">
        <v>0</v>
      </c>
      <c r="BG39" s="252">
        <v>0</v>
      </c>
      <c r="BH39" s="252">
        <v>0</v>
      </c>
      <c r="BI39" s="252">
        <v>370714.96062992123</v>
      </c>
      <c r="BJ39" s="252">
        <v>17100.428976377956</v>
      </c>
      <c r="BK39" s="252">
        <v>336168.62858808204</v>
      </c>
      <c r="BL39" s="252">
        <v>765945.09527376341</v>
      </c>
      <c r="BM39" s="252">
        <v>13264.570874150841</v>
      </c>
      <c r="BN39" s="252">
        <v>10435239.026820451</v>
      </c>
      <c r="BO39" s="252">
        <v>137953.09916379888</v>
      </c>
      <c r="BP39" s="252">
        <v>6965285.0393700786</v>
      </c>
      <c r="BQ39" s="252">
        <v>837454.62519685039</v>
      </c>
      <c r="BR39" s="252">
        <v>84789.01968503937</v>
      </c>
      <c r="BS39" s="252">
        <v>290891.55984251964</v>
      </c>
      <c r="BT39" s="252">
        <v>91311.251968503959</v>
      </c>
      <c r="BU39" s="252">
        <v>3397442.3999999994</v>
      </c>
      <c r="BV39" s="252">
        <v>0</v>
      </c>
      <c r="BW39" s="252">
        <v>1206711.0236220472</v>
      </c>
      <c r="BX39" s="252">
        <v>896385.82677165361</v>
      </c>
      <c r="BY39" s="252">
        <v>1132478.7401574801</v>
      </c>
      <c r="BZ39" s="252">
        <v>2046390.5511811022</v>
      </c>
      <c r="CA39" s="252">
        <v>69921.259842519677</v>
      </c>
      <c r="CB39" s="252">
        <v>153291.33858267718</v>
      </c>
      <c r="CC39" s="252">
        <v>0</v>
      </c>
      <c r="CD39" s="252">
        <v>123453.5433070866</v>
      </c>
      <c r="CE39" s="252">
        <v>0</v>
      </c>
      <c r="CF39" s="252">
        <v>149213.78197226077</v>
      </c>
      <c r="CG39" s="252">
        <v>111062.95051242021</v>
      </c>
      <c r="CH39" s="252">
        <v>319213.03129484656</v>
      </c>
      <c r="CI39" s="252">
        <v>0</v>
      </c>
      <c r="CJ39" s="252">
        <v>0</v>
      </c>
      <c r="CK39" s="252">
        <v>0</v>
      </c>
      <c r="CL39" s="252">
        <v>16485.039370078739</v>
      </c>
      <c r="CM39" s="252">
        <v>1482859.8425196847</v>
      </c>
      <c r="CN39" s="252">
        <v>88724.560314960632</v>
      </c>
      <c r="CO39" s="252">
        <v>221193.54173228348</v>
      </c>
      <c r="CP39" s="252">
        <v>806182.49511811009</v>
      </c>
      <c r="CQ39" s="252">
        <v>220204.96724409447</v>
      </c>
      <c r="CR39" s="252">
        <v>399878.38047244091</v>
      </c>
      <c r="CS39" s="252">
        <v>348719.65070866141</v>
      </c>
      <c r="CT39" s="252">
        <v>194254.88692913385</v>
      </c>
      <c r="CU39" s="252">
        <v>83287.400629921249</v>
      </c>
      <c r="CV39" s="252">
        <v>108990.33732283463</v>
      </c>
      <c r="CW39" s="252">
        <v>1853584.2519685039</v>
      </c>
      <c r="CX39" s="252">
        <v>926787.40157480305</v>
      </c>
      <c r="CY39" s="252">
        <v>185357.48031496062</v>
      </c>
      <c r="CZ39" s="252">
        <v>926787.40157480305</v>
      </c>
      <c r="DA39" s="252">
        <v>0</v>
      </c>
      <c r="DB39" s="252">
        <v>0</v>
      </c>
      <c r="DC39" s="252">
        <v>0</v>
      </c>
      <c r="DD39" s="252">
        <v>0</v>
      </c>
      <c r="DE39" s="252">
        <v>0</v>
      </c>
      <c r="DF39" s="252">
        <v>22148.031496062991</v>
      </c>
      <c r="DG39" s="252">
        <v>0</v>
      </c>
      <c r="DH39" s="252">
        <v>123729.29494283567</v>
      </c>
      <c r="DI39" s="252">
        <v>21708.867203606616</v>
      </c>
      <c r="DJ39" s="252">
        <v>518313.26463326055</v>
      </c>
      <c r="DK39" s="252">
        <v>26652.938182738635</v>
      </c>
      <c r="DL39" s="252">
        <v>432715.08876826259</v>
      </c>
      <c r="DM39" s="252">
        <v>198866.72132630312</v>
      </c>
      <c r="DN39" s="252">
        <v>39143.449672824368</v>
      </c>
      <c r="DO39" s="252">
        <v>4699.0087423645227</v>
      </c>
      <c r="DP39" s="252">
        <v>7774.7235555485768</v>
      </c>
      <c r="DQ39" s="252">
        <v>3261.9541394020307</v>
      </c>
      <c r="DR39" s="252">
        <v>854127.55905511801</v>
      </c>
      <c r="DS39" s="252">
        <v>48774.015748031496</v>
      </c>
      <c r="DT39" s="252">
        <v>0</v>
      </c>
      <c r="DU39" s="252">
        <v>140650.97582866743</v>
      </c>
      <c r="DV39" s="252">
        <v>219709.05511811023</v>
      </c>
      <c r="DW39" s="252">
        <v>263650.86614173232</v>
      </c>
      <c r="DX39" s="252">
        <v>1379744.0944881889</v>
      </c>
      <c r="DY39" s="252">
        <v>1379744.0944881891</v>
      </c>
      <c r="DZ39" s="252">
        <v>689869.29133858252</v>
      </c>
      <c r="EG39" s="252" t="str">
        <f>VLOOKUP(B39,'2022. tervsor'!C:D,2,0)</f>
        <v>Kommunális hulladék szállítási költségei</v>
      </c>
    </row>
    <row r="40" spans="1:137" s="252" customFormat="1" x14ac:dyDescent="0.3">
      <c r="A40" s="435"/>
      <c r="B40" s="435">
        <v>129</v>
      </c>
      <c r="C40" s="252">
        <v>0</v>
      </c>
      <c r="D40" s="252">
        <v>0</v>
      </c>
      <c r="E40" s="252">
        <v>0</v>
      </c>
      <c r="F40" s="252">
        <v>0</v>
      </c>
      <c r="G40" s="252">
        <v>0</v>
      </c>
      <c r="H40" s="252">
        <v>0</v>
      </c>
      <c r="I40" s="252">
        <v>0</v>
      </c>
      <c r="J40" s="252">
        <v>0</v>
      </c>
      <c r="K40" s="252">
        <v>0</v>
      </c>
      <c r="L40" s="252">
        <v>0</v>
      </c>
      <c r="M40" s="252">
        <v>0</v>
      </c>
      <c r="N40" s="252">
        <v>0</v>
      </c>
      <c r="O40" s="252">
        <v>0</v>
      </c>
      <c r="P40" s="252">
        <v>0</v>
      </c>
      <c r="Q40" s="252">
        <v>0</v>
      </c>
      <c r="R40" s="252">
        <v>0</v>
      </c>
      <c r="S40" s="252">
        <v>0</v>
      </c>
      <c r="T40" s="252">
        <v>0</v>
      </c>
      <c r="U40" s="252">
        <v>0</v>
      </c>
      <c r="V40" s="252">
        <v>0</v>
      </c>
      <c r="W40" s="252">
        <v>0</v>
      </c>
      <c r="X40" s="252">
        <v>0</v>
      </c>
      <c r="Y40" s="252">
        <v>0</v>
      </c>
      <c r="Z40" s="252">
        <v>0</v>
      </c>
      <c r="AA40" s="252">
        <v>0</v>
      </c>
      <c r="AB40" s="252">
        <v>0</v>
      </c>
      <c r="AC40" s="252">
        <v>0</v>
      </c>
      <c r="AD40" s="252">
        <v>0</v>
      </c>
      <c r="AE40" s="252">
        <v>0</v>
      </c>
      <c r="AF40" s="252">
        <v>0</v>
      </c>
      <c r="AG40" s="252">
        <v>0</v>
      </c>
      <c r="AH40" s="252">
        <v>0</v>
      </c>
      <c r="AI40" s="252">
        <v>0</v>
      </c>
      <c r="AJ40" s="252">
        <v>0</v>
      </c>
      <c r="AK40" s="252">
        <v>0</v>
      </c>
      <c r="AL40" s="252">
        <v>0</v>
      </c>
      <c r="AM40" s="252">
        <v>0</v>
      </c>
      <c r="AN40" s="252">
        <v>0</v>
      </c>
      <c r="AO40" s="252">
        <v>0</v>
      </c>
      <c r="AP40" s="252">
        <v>0</v>
      </c>
      <c r="AQ40" s="252">
        <v>0</v>
      </c>
      <c r="AR40" s="252">
        <v>0</v>
      </c>
      <c r="AS40" s="252">
        <v>0</v>
      </c>
      <c r="AT40" s="252">
        <v>0</v>
      </c>
      <c r="AU40" s="252">
        <v>0</v>
      </c>
      <c r="AV40" s="252">
        <v>0</v>
      </c>
      <c r="AW40" s="252">
        <v>0</v>
      </c>
      <c r="AX40" s="252">
        <v>0</v>
      </c>
      <c r="AY40" s="252">
        <v>0</v>
      </c>
      <c r="AZ40" s="252">
        <v>0</v>
      </c>
      <c r="BA40" s="252">
        <v>0</v>
      </c>
      <c r="BB40" s="252">
        <v>0</v>
      </c>
      <c r="BC40" s="252">
        <v>0</v>
      </c>
      <c r="BD40" s="252">
        <v>0</v>
      </c>
      <c r="BE40" s="252">
        <v>0</v>
      </c>
      <c r="BF40" s="252">
        <v>0</v>
      </c>
      <c r="BG40" s="252">
        <v>0</v>
      </c>
      <c r="BH40" s="252">
        <v>0</v>
      </c>
      <c r="BI40" s="252">
        <v>0</v>
      </c>
      <c r="BJ40" s="252">
        <v>0</v>
      </c>
      <c r="BK40" s="252">
        <v>0</v>
      </c>
      <c r="BL40" s="252">
        <v>0</v>
      </c>
      <c r="BM40" s="252">
        <v>0</v>
      </c>
      <c r="BN40" s="252">
        <v>0</v>
      </c>
      <c r="BO40" s="252">
        <v>0</v>
      </c>
      <c r="BP40" s="252">
        <v>5654.3307086614168</v>
      </c>
      <c r="BQ40" s="252">
        <v>0</v>
      </c>
      <c r="BR40" s="252">
        <v>0</v>
      </c>
      <c r="BS40" s="252">
        <v>0</v>
      </c>
      <c r="BT40" s="252">
        <v>0</v>
      </c>
      <c r="BU40" s="252">
        <v>141365.23571923788</v>
      </c>
      <c r="BV40" s="252">
        <v>0</v>
      </c>
      <c r="BW40" s="252">
        <v>39451.181102362207</v>
      </c>
      <c r="BX40" s="252">
        <v>14709.763779527555</v>
      </c>
      <c r="BY40" s="252">
        <v>0</v>
      </c>
      <c r="BZ40" s="252">
        <v>0</v>
      </c>
      <c r="CA40" s="252">
        <v>0</v>
      </c>
      <c r="CB40" s="252">
        <v>9338.6133442020964</v>
      </c>
      <c r="CC40" s="252">
        <v>0</v>
      </c>
      <c r="CD40" s="252">
        <v>0</v>
      </c>
      <c r="CE40" s="252">
        <v>13145.331773881313</v>
      </c>
      <c r="CF40" s="252">
        <v>0</v>
      </c>
      <c r="CG40" s="252">
        <v>0</v>
      </c>
      <c r="CH40" s="252">
        <v>0</v>
      </c>
      <c r="CI40" s="252">
        <v>0</v>
      </c>
      <c r="CJ40" s="252">
        <v>0</v>
      </c>
      <c r="CK40" s="252">
        <v>0</v>
      </c>
      <c r="CL40" s="252">
        <v>10747.586104553748</v>
      </c>
      <c r="CM40" s="252">
        <v>0</v>
      </c>
      <c r="CN40" s="252">
        <v>0</v>
      </c>
      <c r="CO40" s="252">
        <v>0</v>
      </c>
      <c r="CP40" s="252">
        <v>0</v>
      </c>
      <c r="CQ40" s="252">
        <v>0</v>
      </c>
      <c r="CR40" s="252">
        <v>0</v>
      </c>
      <c r="CS40" s="252">
        <v>0</v>
      </c>
      <c r="CT40" s="252">
        <v>0</v>
      </c>
      <c r="CU40" s="252">
        <v>0</v>
      </c>
      <c r="CV40" s="252">
        <v>0</v>
      </c>
      <c r="CW40" s="252">
        <v>0</v>
      </c>
      <c r="CX40" s="252">
        <v>0</v>
      </c>
      <c r="CY40" s="252">
        <v>0</v>
      </c>
      <c r="CZ40" s="252">
        <v>0</v>
      </c>
      <c r="DA40" s="252">
        <v>0</v>
      </c>
      <c r="DB40" s="252">
        <v>0</v>
      </c>
      <c r="DC40" s="252">
        <v>0</v>
      </c>
      <c r="DD40" s="252">
        <v>0</v>
      </c>
      <c r="DE40" s="252">
        <v>0</v>
      </c>
      <c r="DF40" s="252">
        <v>0</v>
      </c>
      <c r="DG40" s="252">
        <v>0</v>
      </c>
      <c r="DH40" s="252">
        <v>0</v>
      </c>
      <c r="DI40" s="252">
        <v>0</v>
      </c>
      <c r="DJ40" s="252">
        <v>0</v>
      </c>
      <c r="DK40" s="252">
        <v>0</v>
      </c>
      <c r="DL40" s="252">
        <v>0</v>
      </c>
      <c r="DM40" s="252">
        <v>0</v>
      </c>
      <c r="DN40" s="252">
        <v>0</v>
      </c>
      <c r="DO40" s="252">
        <v>0</v>
      </c>
      <c r="DP40" s="252">
        <v>0</v>
      </c>
      <c r="DQ40" s="252">
        <v>0</v>
      </c>
      <c r="DR40" s="252">
        <v>0</v>
      </c>
      <c r="DS40" s="252">
        <v>0</v>
      </c>
      <c r="DT40" s="252">
        <v>0</v>
      </c>
      <c r="DU40" s="252">
        <v>0</v>
      </c>
      <c r="DV40" s="252">
        <v>0</v>
      </c>
      <c r="DW40" s="252">
        <v>0</v>
      </c>
      <c r="DX40" s="252">
        <v>0</v>
      </c>
      <c r="DY40" s="252">
        <v>0</v>
      </c>
      <c r="DZ40" s="252">
        <v>0</v>
      </c>
      <c r="EG40" s="252" t="str">
        <f>VLOOKUP(B40,'2022. tervsor'!C:D,2,0)</f>
        <v>Kéményseprési díjak költségei</v>
      </c>
    </row>
    <row r="41" spans="1:137" s="252" customFormat="1" x14ac:dyDescent="0.3">
      <c r="A41" s="435"/>
      <c r="B41" s="435">
        <v>131</v>
      </c>
      <c r="C41" s="252">
        <v>118110.23622047246</v>
      </c>
      <c r="D41" s="252">
        <v>930669.9245004172</v>
      </c>
      <c r="E41" s="252">
        <v>74730.603277703485</v>
      </c>
      <c r="F41" s="252">
        <v>29798.754196664471</v>
      </c>
      <c r="G41" s="252">
        <v>954993.58810036536</v>
      </c>
      <c r="H41" s="252">
        <v>454782.74724315119</v>
      </c>
      <c r="I41" s="252">
        <v>4750.7785422701481</v>
      </c>
      <c r="J41" s="252">
        <v>17346.570975572868</v>
      </c>
      <c r="K41" s="252">
        <v>29932.627614947705</v>
      </c>
      <c r="L41" s="252">
        <v>134477.1725772653</v>
      </c>
      <c r="M41" s="252">
        <v>3333939.7465571021</v>
      </c>
      <c r="N41" s="252">
        <v>0</v>
      </c>
      <c r="O41" s="252">
        <v>981.69824063513306</v>
      </c>
      <c r="P41" s="252">
        <v>5385.8507143296029</v>
      </c>
      <c r="Q41" s="252">
        <v>220652.92411253447</v>
      </c>
      <c r="R41" s="252">
        <v>168367.0497949656</v>
      </c>
      <c r="S41" s="252">
        <v>0</v>
      </c>
      <c r="T41" s="252">
        <v>181815.06801765494</v>
      </c>
      <c r="U41" s="252">
        <v>0</v>
      </c>
      <c r="V41" s="252">
        <v>0</v>
      </c>
      <c r="W41" s="252">
        <v>0</v>
      </c>
      <c r="X41" s="252">
        <v>4607239.24913147</v>
      </c>
      <c r="Y41" s="252">
        <v>29593.432335375132</v>
      </c>
      <c r="Z41" s="252">
        <v>27133.110761868898</v>
      </c>
      <c r="AA41" s="252">
        <v>108878.84668808561</v>
      </c>
      <c r="AB41" s="252">
        <v>0</v>
      </c>
      <c r="AC41" s="252">
        <v>16251.287795561599</v>
      </c>
      <c r="AD41" s="252">
        <v>295890.81991533836</v>
      </c>
      <c r="AE41" s="252">
        <v>0</v>
      </c>
      <c r="AF41" s="252">
        <v>0</v>
      </c>
      <c r="AG41" s="252">
        <v>0</v>
      </c>
      <c r="AH41" s="252">
        <v>0</v>
      </c>
      <c r="AI41" s="252">
        <v>0</v>
      </c>
      <c r="AJ41" s="252">
        <v>0</v>
      </c>
      <c r="AK41" s="252">
        <v>0</v>
      </c>
      <c r="AL41" s="252">
        <v>0</v>
      </c>
      <c r="AM41" s="252">
        <v>0</v>
      </c>
      <c r="AN41" s="252">
        <v>1251440.2515933928</v>
      </c>
      <c r="AO41" s="252">
        <v>0</v>
      </c>
      <c r="AP41" s="252">
        <v>0</v>
      </c>
      <c r="AQ41" s="252">
        <v>5686306.0141570466</v>
      </c>
      <c r="AR41" s="252">
        <v>0</v>
      </c>
      <c r="AS41" s="252">
        <v>0</v>
      </c>
      <c r="AT41" s="252">
        <v>0</v>
      </c>
      <c r="AU41" s="252">
        <v>2227825.7641524505</v>
      </c>
      <c r="AV41" s="252">
        <v>1021407.3853874116</v>
      </c>
      <c r="AW41" s="252">
        <v>20658288.140069563</v>
      </c>
      <c r="AX41" s="252">
        <v>4367691.5951605039</v>
      </c>
      <c r="AY41" s="252">
        <v>1636073.2626125456</v>
      </c>
      <c r="AZ41" s="252">
        <v>296773.17451256508</v>
      </c>
      <c r="BA41" s="252">
        <v>0</v>
      </c>
      <c r="BB41" s="252">
        <v>0</v>
      </c>
      <c r="BC41" s="252">
        <v>0</v>
      </c>
      <c r="BD41" s="252">
        <v>0</v>
      </c>
      <c r="BE41" s="252">
        <v>0</v>
      </c>
      <c r="BF41" s="252">
        <v>0</v>
      </c>
      <c r="BG41" s="252">
        <v>0</v>
      </c>
      <c r="BH41" s="252">
        <v>0</v>
      </c>
      <c r="BI41" s="252">
        <v>477381.57070155343</v>
      </c>
      <c r="BJ41" s="252">
        <v>13686.044458939325</v>
      </c>
      <c r="BK41" s="252">
        <v>289242.0330464461</v>
      </c>
      <c r="BL41" s="252">
        <v>230057.02364104262</v>
      </c>
      <c r="BM41" s="252">
        <v>10568.33237814379</v>
      </c>
      <c r="BN41" s="252">
        <v>10711174.019840408</v>
      </c>
      <c r="BO41" s="252">
        <v>146181.35913354476</v>
      </c>
      <c r="BP41" s="252">
        <v>2702348.0050510028</v>
      </c>
      <c r="BQ41" s="252">
        <v>4072639.3016165583</v>
      </c>
      <c r="BR41" s="252">
        <v>361929.74245127314</v>
      </c>
      <c r="BS41" s="252">
        <v>825881.7450419449</v>
      </c>
      <c r="BT41" s="252">
        <v>191567.86315393585</v>
      </c>
      <c r="BU41" s="252">
        <v>928846.38151615462</v>
      </c>
      <c r="BV41" s="252">
        <v>0</v>
      </c>
      <c r="BW41" s="252">
        <v>0</v>
      </c>
      <c r="BX41" s="252">
        <v>0</v>
      </c>
      <c r="BY41" s="252">
        <v>0</v>
      </c>
      <c r="BZ41" s="252">
        <v>0</v>
      </c>
      <c r="CA41" s="252">
        <v>3430164.11914847</v>
      </c>
      <c r="CB41" s="252">
        <v>2187712.5897328407</v>
      </c>
      <c r="CC41" s="252">
        <v>0</v>
      </c>
      <c r="CD41" s="252">
        <v>2585658.6739045405</v>
      </c>
      <c r="CE41" s="252">
        <v>48906.109293542206</v>
      </c>
      <c r="CF41" s="252">
        <v>0</v>
      </c>
      <c r="CG41" s="252">
        <v>0</v>
      </c>
      <c r="CH41" s="252">
        <v>0</v>
      </c>
      <c r="CI41" s="252">
        <v>0</v>
      </c>
      <c r="CJ41" s="252">
        <v>0</v>
      </c>
      <c r="CK41" s="252">
        <v>0</v>
      </c>
      <c r="CL41" s="252">
        <v>358252.87015179166</v>
      </c>
      <c r="CM41" s="252">
        <v>1801856.9805254673</v>
      </c>
      <c r="CN41" s="252">
        <v>0</v>
      </c>
      <c r="CO41" s="252">
        <v>0</v>
      </c>
      <c r="CP41" s="252">
        <v>0</v>
      </c>
      <c r="CQ41" s="252">
        <v>0</v>
      </c>
      <c r="CR41" s="252">
        <v>0</v>
      </c>
      <c r="CS41" s="252">
        <v>0</v>
      </c>
      <c r="CT41" s="252">
        <v>0</v>
      </c>
      <c r="CU41" s="252">
        <v>0</v>
      </c>
      <c r="CV41" s="252">
        <v>0</v>
      </c>
      <c r="CW41" s="252">
        <v>3451840.3982267743</v>
      </c>
      <c r="CX41" s="252">
        <v>0</v>
      </c>
      <c r="CY41" s="252">
        <v>0</v>
      </c>
      <c r="CZ41" s="252">
        <v>0</v>
      </c>
      <c r="DA41" s="252">
        <v>173618.26136720937</v>
      </c>
      <c r="DB41" s="252">
        <v>46123.338091273385</v>
      </c>
      <c r="DC41" s="252">
        <v>39441.563080313339</v>
      </c>
      <c r="DD41" s="252">
        <v>808.03212490623491</v>
      </c>
      <c r="DE41" s="252">
        <v>39648.489345872469</v>
      </c>
      <c r="DF41" s="252">
        <v>171935.7225408552</v>
      </c>
      <c r="DG41" s="252">
        <v>0</v>
      </c>
      <c r="DH41" s="252">
        <v>48856.948157812731</v>
      </c>
      <c r="DI41" s="252">
        <v>19118.943138868086</v>
      </c>
      <c r="DJ41" s="252">
        <v>202258.67425263161</v>
      </c>
      <c r="DK41" s="252">
        <v>0</v>
      </c>
      <c r="DL41" s="252">
        <v>137853.63261266347</v>
      </c>
      <c r="DM41" s="252">
        <v>66727.628214140947</v>
      </c>
      <c r="DN41" s="252">
        <v>17007.588109380962</v>
      </c>
      <c r="DO41" s="252">
        <v>1740.5414214338625</v>
      </c>
      <c r="DP41" s="252">
        <v>3691.8906097688728</v>
      </c>
      <c r="DQ41" s="252">
        <v>1295.0569996885351</v>
      </c>
      <c r="DR41" s="252">
        <v>1536565.744143958</v>
      </c>
      <c r="DS41" s="252">
        <v>5244.3174752864961</v>
      </c>
      <c r="DT41" s="252">
        <v>0</v>
      </c>
      <c r="DU41" s="252">
        <v>0</v>
      </c>
      <c r="DV41" s="252">
        <v>0</v>
      </c>
      <c r="DW41" s="252">
        <v>0</v>
      </c>
      <c r="DX41" s="252">
        <v>84060.746682704092</v>
      </c>
      <c r="DY41" s="252">
        <v>103533.57342824085</v>
      </c>
      <c r="DZ41" s="252">
        <v>51422.857173915458</v>
      </c>
      <c r="EG41" s="252" t="s">
        <v>354</v>
      </c>
    </row>
    <row r="42" spans="1:137" s="252" customFormat="1" x14ac:dyDescent="0.3">
      <c r="A42" s="435"/>
      <c r="B42" s="435">
        <v>132</v>
      </c>
      <c r="C42" s="252">
        <v>0</v>
      </c>
      <c r="D42" s="252">
        <v>0</v>
      </c>
      <c r="E42" s="252">
        <v>0</v>
      </c>
      <c r="F42" s="252">
        <v>0</v>
      </c>
      <c r="G42" s="252">
        <v>0</v>
      </c>
      <c r="H42" s="252">
        <v>0</v>
      </c>
      <c r="I42" s="252">
        <v>0</v>
      </c>
      <c r="J42" s="252">
        <v>0</v>
      </c>
      <c r="K42" s="252">
        <v>0</v>
      </c>
      <c r="L42" s="252">
        <v>0</v>
      </c>
      <c r="M42" s="252">
        <v>0</v>
      </c>
      <c r="N42" s="252">
        <v>0</v>
      </c>
      <c r="O42" s="252">
        <v>0</v>
      </c>
      <c r="P42" s="252">
        <v>0</v>
      </c>
      <c r="Q42" s="252">
        <v>0</v>
      </c>
      <c r="R42" s="252">
        <v>0</v>
      </c>
      <c r="S42" s="252">
        <v>0</v>
      </c>
      <c r="T42" s="252">
        <v>0</v>
      </c>
      <c r="U42" s="252">
        <v>0</v>
      </c>
      <c r="V42" s="252">
        <v>0</v>
      </c>
      <c r="W42" s="252">
        <v>0</v>
      </c>
      <c r="X42" s="252">
        <v>0</v>
      </c>
      <c r="Y42" s="252">
        <v>0</v>
      </c>
      <c r="Z42" s="252">
        <v>0</v>
      </c>
      <c r="AA42" s="252">
        <v>0</v>
      </c>
      <c r="AB42" s="252">
        <v>0</v>
      </c>
      <c r="AC42" s="252">
        <v>0</v>
      </c>
      <c r="AD42" s="252">
        <v>0</v>
      </c>
      <c r="AE42" s="252">
        <v>0</v>
      </c>
      <c r="AF42" s="252">
        <v>0</v>
      </c>
      <c r="AG42" s="252">
        <v>0</v>
      </c>
      <c r="AH42" s="252">
        <v>0</v>
      </c>
      <c r="AI42" s="252">
        <v>0</v>
      </c>
      <c r="AJ42" s="252">
        <v>0</v>
      </c>
      <c r="AK42" s="252">
        <v>0</v>
      </c>
      <c r="AL42" s="252">
        <v>0</v>
      </c>
      <c r="AM42" s="252">
        <v>0</v>
      </c>
      <c r="AN42" s="252">
        <v>0</v>
      </c>
      <c r="AO42" s="252">
        <v>0</v>
      </c>
      <c r="AP42" s="252">
        <v>0</v>
      </c>
      <c r="AQ42" s="252">
        <v>0</v>
      </c>
      <c r="AR42" s="252">
        <v>0</v>
      </c>
      <c r="AS42" s="252">
        <v>0</v>
      </c>
      <c r="AT42" s="252">
        <v>0</v>
      </c>
      <c r="AU42" s="252">
        <v>0</v>
      </c>
      <c r="AV42" s="252">
        <v>0</v>
      </c>
      <c r="AW42" s="252">
        <v>0</v>
      </c>
      <c r="AX42" s="252">
        <v>0</v>
      </c>
      <c r="AY42" s="252">
        <v>0</v>
      </c>
      <c r="AZ42" s="252">
        <v>0</v>
      </c>
      <c r="BA42" s="252">
        <v>0</v>
      </c>
      <c r="BB42" s="252">
        <v>0</v>
      </c>
      <c r="BC42" s="252">
        <v>0</v>
      </c>
      <c r="BD42" s="252">
        <v>0</v>
      </c>
      <c r="BE42" s="252">
        <v>0</v>
      </c>
      <c r="BF42" s="252">
        <v>0</v>
      </c>
      <c r="BG42" s="252">
        <v>0</v>
      </c>
      <c r="BH42" s="252">
        <v>0</v>
      </c>
      <c r="BI42" s="252">
        <v>0</v>
      </c>
      <c r="BJ42" s="252">
        <v>0</v>
      </c>
      <c r="BK42" s="252">
        <v>0</v>
      </c>
      <c r="BL42" s="252">
        <v>0</v>
      </c>
      <c r="BM42" s="252">
        <v>0</v>
      </c>
      <c r="BN42" s="252">
        <v>0</v>
      </c>
      <c r="BO42" s="252">
        <v>0</v>
      </c>
      <c r="BP42" s="252">
        <v>0</v>
      </c>
      <c r="BQ42" s="252">
        <v>0</v>
      </c>
      <c r="BR42" s="252">
        <v>0</v>
      </c>
      <c r="BS42" s="252">
        <v>0</v>
      </c>
      <c r="BT42" s="252">
        <v>0</v>
      </c>
      <c r="BU42" s="252">
        <v>0</v>
      </c>
      <c r="BV42" s="252">
        <v>0</v>
      </c>
      <c r="BW42" s="252">
        <v>0</v>
      </c>
      <c r="BX42" s="252">
        <v>0</v>
      </c>
      <c r="BY42" s="252">
        <v>0</v>
      </c>
      <c r="BZ42" s="252">
        <v>0</v>
      </c>
      <c r="CA42" s="252">
        <v>0</v>
      </c>
      <c r="CB42" s="252">
        <v>0</v>
      </c>
      <c r="CC42" s="252">
        <v>0</v>
      </c>
      <c r="CD42" s="252">
        <v>218752.84889209311</v>
      </c>
      <c r="CE42" s="252">
        <v>0</v>
      </c>
      <c r="CF42" s="252">
        <v>0</v>
      </c>
      <c r="CG42" s="252">
        <v>0</v>
      </c>
      <c r="CH42" s="252">
        <v>0</v>
      </c>
      <c r="CI42" s="252">
        <v>0</v>
      </c>
      <c r="CJ42" s="252">
        <v>0</v>
      </c>
      <c r="CK42" s="252">
        <v>0</v>
      </c>
      <c r="CL42" s="252">
        <v>0</v>
      </c>
      <c r="CM42" s="252">
        <v>0</v>
      </c>
      <c r="CN42" s="252">
        <v>0</v>
      </c>
      <c r="CO42" s="252">
        <v>0</v>
      </c>
      <c r="CP42" s="252">
        <v>0</v>
      </c>
      <c r="CQ42" s="252">
        <v>0</v>
      </c>
      <c r="CR42" s="252">
        <v>0</v>
      </c>
      <c r="CS42" s="252">
        <v>0</v>
      </c>
      <c r="CT42" s="252">
        <v>0</v>
      </c>
      <c r="CU42" s="252">
        <v>0</v>
      </c>
      <c r="CV42" s="252">
        <v>0</v>
      </c>
      <c r="CW42" s="252">
        <v>0</v>
      </c>
      <c r="CX42" s="252">
        <v>0</v>
      </c>
      <c r="CY42" s="252">
        <v>0</v>
      </c>
      <c r="CZ42" s="252">
        <v>0</v>
      </c>
      <c r="DA42" s="252">
        <v>0</v>
      </c>
      <c r="DB42" s="252">
        <v>0</v>
      </c>
      <c r="DC42" s="252">
        <v>0</v>
      </c>
      <c r="DD42" s="252">
        <v>0</v>
      </c>
      <c r="DE42" s="252">
        <v>0</v>
      </c>
      <c r="DF42" s="252">
        <v>0</v>
      </c>
      <c r="DG42" s="252">
        <v>0</v>
      </c>
      <c r="DH42" s="252">
        <v>0</v>
      </c>
      <c r="DI42" s="252">
        <v>0</v>
      </c>
      <c r="DJ42" s="252">
        <v>0</v>
      </c>
      <c r="DK42" s="252">
        <v>0</v>
      </c>
      <c r="DL42" s="252">
        <v>0</v>
      </c>
      <c r="DM42" s="252">
        <v>0</v>
      </c>
      <c r="DN42" s="252">
        <v>0</v>
      </c>
      <c r="DO42" s="252">
        <v>0</v>
      </c>
      <c r="DP42" s="252">
        <v>0</v>
      </c>
      <c r="DQ42" s="252">
        <v>0</v>
      </c>
      <c r="DR42" s="252">
        <v>0</v>
      </c>
      <c r="DS42" s="252">
        <v>0</v>
      </c>
      <c r="DT42" s="252">
        <v>0</v>
      </c>
      <c r="DU42" s="252">
        <v>0</v>
      </c>
      <c r="DV42" s="252">
        <v>0</v>
      </c>
      <c r="DW42" s="252">
        <v>0</v>
      </c>
      <c r="DX42" s="252">
        <v>0</v>
      </c>
      <c r="DY42" s="252">
        <v>0</v>
      </c>
      <c r="DZ42" s="252">
        <v>0</v>
      </c>
      <c r="EG42" s="252" t="str">
        <f>VLOOKUP(B42,'2022. tervsor'!C:D,2,0)</f>
        <v>Egyéb üzemelt. Kiadások (mosás, rakodás)</v>
      </c>
    </row>
    <row r="43" spans="1:137" s="252" customFormat="1" x14ac:dyDescent="0.3">
      <c r="A43" s="435"/>
      <c r="B43" s="435">
        <v>133</v>
      </c>
      <c r="C43" s="252">
        <v>0</v>
      </c>
      <c r="D43" s="252">
        <v>85502.433794409924</v>
      </c>
      <c r="E43" s="252">
        <v>6865.6440817061011</v>
      </c>
      <c r="F43" s="252">
        <v>2737.6687918908424</v>
      </c>
      <c r="G43" s="252">
        <v>76074.311731281065</v>
      </c>
      <c r="H43" s="252">
        <v>36227.766254015805</v>
      </c>
      <c r="I43" s="252">
        <v>378.44464328796886</v>
      </c>
      <c r="J43" s="252">
        <v>1381.8191706286466</v>
      </c>
      <c r="K43" s="252">
        <v>1574.0882943323929</v>
      </c>
      <c r="L43" s="252">
        <v>7071.846345460247</v>
      </c>
      <c r="M43" s="252">
        <v>175324.25140131512</v>
      </c>
      <c r="N43" s="252">
        <v>0</v>
      </c>
      <c r="O43" s="252">
        <v>596.35874431106208</v>
      </c>
      <c r="P43" s="252">
        <v>3271.7784713217211</v>
      </c>
      <c r="Q43" s="252">
        <v>134041.49595621252</v>
      </c>
      <c r="R43" s="252">
        <v>69303.524980196336</v>
      </c>
      <c r="S43" s="252">
        <v>0</v>
      </c>
      <c r="T43" s="252">
        <v>98940.41683267655</v>
      </c>
      <c r="U43" s="252">
        <v>96598.189720968585</v>
      </c>
      <c r="V43" s="252">
        <v>389127.56692186353</v>
      </c>
      <c r="W43" s="252">
        <v>48770.869480388472</v>
      </c>
      <c r="X43" s="252">
        <v>8296142.4231426166</v>
      </c>
      <c r="Y43" s="252">
        <v>53288.165898957493</v>
      </c>
      <c r="Z43" s="252">
        <v>48857.925341255643</v>
      </c>
      <c r="AA43" s="252">
        <v>196055.46188254675</v>
      </c>
      <c r="AB43" s="252">
        <v>0</v>
      </c>
      <c r="AC43" s="252">
        <v>29263.294311636735</v>
      </c>
      <c r="AD43" s="252">
        <v>0</v>
      </c>
      <c r="AE43" s="252">
        <v>0</v>
      </c>
      <c r="AF43" s="252">
        <v>0</v>
      </c>
      <c r="AG43" s="252">
        <v>0</v>
      </c>
      <c r="AH43" s="252">
        <v>0</v>
      </c>
      <c r="AI43" s="252">
        <v>0</v>
      </c>
      <c r="AJ43" s="252">
        <v>0</v>
      </c>
      <c r="AK43" s="252">
        <v>0</v>
      </c>
      <c r="AL43" s="252">
        <v>573915.98866893456</v>
      </c>
      <c r="AM43" s="252">
        <v>863072.73329748027</v>
      </c>
      <c r="AN43" s="252">
        <v>146208.31986962756</v>
      </c>
      <c r="AO43" s="252">
        <v>0</v>
      </c>
      <c r="AP43" s="252">
        <v>0</v>
      </c>
      <c r="AQ43" s="252">
        <v>189275.05854488749</v>
      </c>
      <c r="AR43" s="252">
        <v>214022.26069318695</v>
      </c>
      <c r="AS43" s="252">
        <v>693342.21834125556</v>
      </c>
      <c r="AT43" s="252">
        <v>332521.82492914115</v>
      </c>
      <c r="AU43" s="252">
        <v>164155.58262175947</v>
      </c>
      <c r="AV43" s="252">
        <v>988.65111419999062</v>
      </c>
      <c r="AW43" s="252">
        <v>19995.782172064111</v>
      </c>
      <c r="AX43" s="252">
        <v>4227.6208531618713</v>
      </c>
      <c r="AY43" s="252">
        <v>1583.6048154098671</v>
      </c>
      <c r="AZ43" s="252">
        <v>287.25573541376883</v>
      </c>
      <c r="BA43" s="252">
        <v>0</v>
      </c>
      <c r="BB43" s="252">
        <v>4834.5814781604058</v>
      </c>
      <c r="BC43" s="252">
        <v>30468.326869324468</v>
      </c>
      <c r="BD43" s="252">
        <v>0</v>
      </c>
      <c r="BE43" s="252">
        <v>0</v>
      </c>
      <c r="BF43" s="252">
        <v>0</v>
      </c>
      <c r="BG43" s="252">
        <v>0</v>
      </c>
      <c r="BH43" s="252">
        <v>0</v>
      </c>
      <c r="BI43" s="252">
        <v>309584.28125499276</v>
      </c>
      <c r="BJ43" s="252">
        <v>1643.72629563854</v>
      </c>
      <c r="BK43" s="252">
        <v>34738.651985881494</v>
      </c>
      <c r="BL43" s="252">
        <v>27630.392432937188</v>
      </c>
      <c r="BM43" s="252">
        <v>1269.2817039372258</v>
      </c>
      <c r="BN43" s="252">
        <v>90333.313839428418</v>
      </c>
      <c r="BO43" s="252">
        <v>1232.8290594126156</v>
      </c>
      <c r="BP43" s="252">
        <v>175110.8752820146</v>
      </c>
      <c r="BQ43" s="252">
        <v>61246.904246514488</v>
      </c>
      <c r="BR43" s="252">
        <v>5442.9264754872756</v>
      </c>
      <c r="BS43" s="252">
        <v>12420.127689051773</v>
      </c>
      <c r="BT43" s="252">
        <v>2880.9176807387116</v>
      </c>
      <c r="BU43" s="252">
        <v>190809.52798587672</v>
      </c>
      <c r="BV43" s="252">
        <v>79849.225550113581</v>
      </c>
      <c r="BW43" s="252">
        <v>114647.85250128695</v>
      </c>
      <c r="BX43" s="252">
        <v>181811.62235973138</v>
      </c>
      <c r="BY43" s="252">
        <v>0</v>
      </c>
      <c r="BZ43" s="252">
        <v>77428.501810184447</v>
      </c>
      <c r="CA43" s="252">
        <v>37438.733465116944</v>
      </c>
      <c r="CB43" s="252">
        <v>221792.06692479979</v>
      </c>
      <c r="CC43" s="252">
        <v>0</v>
      </c>
      <c r="CD43" s="252">
        <v>120314.0668906512</v>
      </c>
      <c r="CE43" s="252">
        <v>0</v>
      </c>
      <c r="CF43" s="252">
        <v>101374.66979657691</v>
      </c>
      <c r="CG43" s="252">
        <v>52033.645991079975</v>
      </c>
      <c r="CH43" s="252">
        <v>162891.29596826111</v>
      </c>
      <c r="CI43" s="252">
        <v>0</v>
      </c>
      <c r="CJ43" s="252">
        <v>0</v>
      </c>
      <c r="CK43" s="252">
        <v>0</v>
      </c>
      <c r="CL43" s="252">
        <v>42990.344418214991</v>
      </c>
      <c r="CM43" s="252">
        <v>166050.11841090125</v>
      </c>
      <c r="CN43" s="252">
        <v>13586.681245719648</v>
      </c>
      <c r="CO43" s="252">
        <v>34314.515254234058</v>
      </c>
      <c r="CP43" s="252">
        <v>127946.73515736239</v>
      </c>
      <c r="CQ43" s="252">
        <v>35095.46413890949</v>
      </c>
      <c r="CR43" s="252">
        <v>59624.141248583866</v>
      </c>
      <c r="CS43" s="252">
        <v>51720.471998676519</v>
      </c>
      <c r="CT43" s="252">
        <v>28613.782931994465</v>
      </c>
      <c r="CU43" s="252">
        <v>12844.931599472166</v>
      </c>
      <c r="CV43" s="252">
        <v>15851.630205200736</v>
      </c>
      <c r="CW43" s="252">
        <v>235457.35029412765</v>
      </c>
      <c r="CX43" s="252">
        <v>1463567.7020433797</v>
      </c>
      <c r="CY43" s="252">
        <v>79292.679468522954</v>
      </c>
      <c r="CZ43" s="252">
        <v>295071.96236169292</v>
      </c>
      <c r="DA43" s="252">
        <v>0</v>
      </c>
      <c r="DB43" s="252">
        <v>0</v>
      </c>
      <c r="DC43" s="252">
        <v>0</v>
      </c>
      <c r="DD43" s="252">
        <v>0</v>
      </c>
      <c r="DE43" s="252">
        <v>0</v>
      </c>
      <c r="DF43" s="252">
        <v>0</v>
      </c>
      <c r="DG43" s="252">
        <v>0</v>
      </c>
      <c r="DH43" s="252">
        <v>70883.663683251812</v>
      </c>
      <c r="DI43" s="252">
        <v>27738.546645550694</v>
      </c>
      <c r="DJ43" s="252">
        <v>293445.17787796614</v>
      </c>
      <c r="DK43" s="252">
        <v>0</v>
      </c>
      <c r="DL43" s="252">
        <v>200003.70264772707</v>
      </c>
      <c r="DM43" s="252">
        <v>96811.179065753255</v>
      </c>
      <c r="DN43" s="252">
        <v>24675.306196255959</v>
      </c>
      <c r="DO43" s="252">
        <v>2525.2488621509997</v>
      </c>
      <c r="DP43" s="252">
        <v>5356.3462763354082</v>
      </c>
      <c r="DQ43" s="252">
        <v>1878.9217967533607</v>
      </c>
      <c r="DR43" s="252">
        <v>163647.01831082237</v>
      </c>
      <c r="DS43" s="252">
        <v>6857.9536215284979</v>
      </c>
      <c r="DT43" s="252">
        <v>0</v>
      </c>
      <c r="DU43" s="252">
        <v>0</v>
      </c>
      <c r="DV43" s="252">
        <v>0</v>
      </c>
      <c r="DW43" s="252">
        <v>0</v>
      </c>
      <c r="DX43" s="252">
        <v>42030.373341352053</v>
      </c>
      <c r="DY43" s="252">
        <v>51766.786714120433</v>
      </c>
      <c r="DZ43" s="252">
        <v>25711.428586957732</v>
      </c>
      <c r="EG43" s="252" t="str">
        <f>VLOOKUP(B43,'2022. tervsor'!C:D,2,0)</f>
        <v>Egyéb más jellegű szolg. Költségei (audit, ell.)</v>
      </c>
    </row>
    <row r="44" spans="1:137" s="252" customFormat="1" x14ac:dyDescent="0.3">
      <c r="A44" s="435"/>
      <c r="B44" s="435">
        <v>141</v>
      </c>
      <c r="C44" s="252">
        <v>1726658.2590921447</v>
      </c>
      <c r="D44" s="252">
        <v>18299353.859710902</v>
      </c>
      <c r="E44" s="252">
        <v>1452135.35211211</v>
      </c>
      <c r="F44" s="252">
        <v>573215.7640021902</v>
      </c>
      <c r="G44" s="252">
        <v>11292635.113266053</v>
      </c>
      <c r="H44" s="252">
        <v>5418256.0031492151</v>
      </c>
      <c r="I44" s="252">
        <v>56240.147802720014</v>
      </c>
      <c r="J44" s="252">
        <v>202684.71608609759</v>
      </c>
      <c r="K44" s="252">
        <v>331432.65664939047</v>
      </c>
      <c r="L44" s="252">
        <v>1539258.7970010615</v>
      </c>
      <c r="M44" s="252">
        <v>37517451.92128484</v>
      </c>
      <c r="N44" s="252">
        <v>2136480.0517328251</v>
      </c>
      <c r="O44" s="252">
        <v>83265.567096804269</v>
      </c>
      <c r="P44" s="252">
        <v>390417.52710401552</v>
      </c>
      <c r="Q44" s="252">
        <v>18089780.918871962</v>
      </c>
      <c r="R44" s="252">
        <v>3887937.9296609992</v>
      </c>
      <c r="S44" s="252">
        <v>1060266.5257094542</v>
      </c>
      <c r="T44" s="252">
        <v>8354537.2179497434</v>
      </c>
      <c r="U44" s="252">
        <v>1214821.3027024714</v>
      </c>
      <c r="V44" s="252">
        <v>4893611.9618760385</v>
      </c>
      <c r="W44" s="252">
        <v>736783.02739238972</v>
      </c>
      <c r="X44" s="252">
        <v>100858869.55053417</v>
      </c>
      <c r="Y44" s="252">
        <v>716408.2028103323</v>
      </c>
      <c r="Z44" s="252">
        <v>1023780.9459407008</v>
      </c>
      <c r="AA44" s="252">
        <v>3026702.7397496104</v>
      </c>
      <c r="AB44" s="252">
        <v>1003437.0964560361</v>
      </c>
      <c r="AC44" s="252">
        <v>394080.40415121801</v>
      </c>
      <c r="AD44" s="252">
        <v>748678.47531732335</v>
      </c>
      <c r="AE44" s="252">
        <v>112668618.88360375</v>
      </c>
      <c r="AF44" s="252">
        <v>676129.53605607315</v>
      </c>
      <c r="AG44" s="252">
        <v>1119417.1392256352</v>
      </c>
      <c r="AH44" s="252">
        <v>3362683.9770275527</v>
      </c>
      <c r="AI44" s="252">
        <v>2571653.5653721397</v>
      </c>
      <c r="AJ44" s="252">
        <v>429102.56754779007</v>
      </c>
      <c r="AK44" s="252">
        <v>52433.797499999971</v>
      </c>
      <c r="AL44" s="252">
        <v>1370352.395114196</v>
      </c>
      <c r="AM44" s="252">
        <v>2613229.1572883958</v>
      </c>
      <c r="AN44" s="252">
        <v>15874933.162303425</v>
      </c>
      <c r="AO44" s="252">
        <v>713283.41500140831</v>
      </c>
      <c r="AP44" s="252">
        <v>0</v>
      </c>
      <c r="AQ44" s="252">
        <v>17874247.275247529</v>
      </c>
      <c r="AR44" s="252">
        <v>716354.91310564475</v>
      </c>
      <c r="AS44" s="252">
        <v>2463513.8547480153</v>
      </c>
      <c r="AT44" s="252">
        <v>2304298.9099244927</v>
      </c>
      <c r="AU44" s="252">
        <v>18102091.505282283</v>
      </c>
      <c r="AV44" s="252">
        <v>11623391.361815296</v>
      </c>
      <c r="AW44" s="252">
        <v>212415299.46209067</v>
      </c>
      <c r="AX44" s="252">
        <v>44501271.757636771</v>
      </c>
      <c r="AY44" s="252">
        <v>16610096.563435659</v>
      </c>
      <c r="AZ44" s="252">
        <v>3036764.4740937441</v>
      </c>
      <c r="BA44" s="252">
        <v>0</v>
      </c>
      <c r="BB44" s="252">
        <v>470978.33773384709</v>
      </c>
      <c r="BC44" s="252">
        <v>2278123.1958084167</v>
      </c>
      <c r="BD44" s="252">
        <v>863988.63050573284</v>
      </c>
      <c r="BE44" s="252">
        <v>720555.25626613072</v>
      </c>
      <c r="BF44" s="252">
        <v>0</v>
      </c>
      <c r="BG44" s="252">
        <v>2955380.6419383385</v>
      </c>
      <c r="BH44" s="252">
        <v>1589964.2856141734</v>
      </c>
      <c r="BI44" s="252">
        <v>13750238.774247676</v>
      </c>
      <c r="BJ44" s="252">
        <v>267820.91923934495</v>
      </c>
      <c r="BK44" s="252">
        <v>5560743.8697359674</v>
      </c>
      <c r="BL44" s="252">
        <v>6398659.801517617</v>
      </c>
      <c r="BM44" s="252">
        <v>207047.18404325075</v>
      </c>
      <c r="BN44" s="252">
        <v>55326141.063166142</v>
      </c>
      <c r="BO44" s="252">
        <v>746010.26846280135</v>
      </c>
      <c r="BP44" s="252">
        <v>32246991.203385502</v>
      </c>
      <c r="BQ44" s="252">
        <v>11369375.045223672</v>
      </c>
      <c r="BR44" s="252">
        <v>1039582.2696583192</v>
      </c>
      <c r="BS44" s="252">
        <v>2646636.6595994253</v>
      </c>
      <c r="BT44" s="252">
        <v>681056.36671865033</v>
      </c>
      <c r="BU44" s="252">
        <v>18418590.893297177</v>
      </c>
      <c r="BV44" s="252">
        <v>4255750.6750036571</v>
      </c>
      <c r="BW44" s="252">
        <v>3378962.0909381509</v>
      </c>
      <c r="BX44" s="252">
        <v>5794630.4238482192</v>
      </c>
      <c r="BY44" s="252">
        <v>15119896.75286887</v>
      </c>
      <c r="BZ44" s="252">
        <v>15629279.995684486</v>
      </c>
      <c r="CA44" s="252">
        <v>2122559.8948241039</v>
      </c>
      <c r="CB44" s="252">
        <v>1817217.3479500946</v>
      </c>
      <c r="CC44" s="252">
        <v>0</v>
      </c>
      <c r="CD44" s="252">
        <v>1547785.3103102553</v>
      </c>
      <c r="CE44" s="252">
        <v>613525.38454297965</v>
      </c>
      <c r="CF44" s="252">
        <v>2257505.2936334843</v>
      </c>
      <c r="CG44" s="252">
        <v>1275880.899022609</v>
      </c>
      <c r="CH44" s="252">
        <v>3897402.4055650942</v>
      </c>
      <c r="CI44" s="252">
        <v>0</v>
      </c>
      <c r="CJ44" s="252">
        <v>0</v>
      </c>
      <c r="CK44" s="252">
        <v>0</v>
      </c>
      <c r="CL44" s="252">
        <v>1980507.4344972633</v>
      </c>
      <c r="CM44" s="252">
        <v>14899651.569743453</v>
      </c>
      <c r="CN44" s="252">
        <v>891541.35830457381</v>
      </c>
      <c r="CO44" s="252">
        <v>2242752.8776937113</v>
      </c>
      <c r="CP44" s="252">
        <v>8305078.6377573088</v>
      </c>
      <c r="CQ44" s="252">
        <v>2275193.1165018901</v>
      </c>
      <c r="CR44" s="252">
        <v>3944946.7642965731</v>
      </c>
      <c r="CS44" s="252">
        <v>3427720.7958481507</v>
      </c>
      <c r="CT44" s="252">
        <v>1900455.4127756271</v>
      </c>
      <c r="CU44" s="252">
        <v>841036.04970231082</v>
      </c>
      <c r="CV44" s="252">
        <v>1057074.9430518779</v>
      </c>
      <c r="CW44" s="252">
        <v>21433954.808041282</v>
      </c>
      <c r="CX44" s="252">
        <v>4324024.8974741511</v>
      </c>
      <c r="CY44" s="252">
        <v>1876073.4222405599</v>
      </c>
      <c r="CZ44" s="252">
        <v>2272840.9648139761</v>
      </c>
      <c r="DA44" s="252">
        <v>205715.58877617531</v>
      </c>
      <c r="DB44" s="252">
        <v>91581.375813086604</v>
      </c>
      <c r="DC44" s="252">
        <v>165748.85902416543</v>
      </c>
      <c r="DD44" s="252">
        <v>32163.137740804952</v>
      </c>
      <c r="DE44" s="252">
        <v>279343.32850905776</v>
      </c>
      <c r="DF44" s="252">
        <v>428573.23929631582</v>
      </c>
      <c r="DG44" s="252">
        <v>0</v>
      </c>
      <c r="DH44" s="252">
        <v>4614258.9162397012</v>
      </c>
      <c r="DI44" s="252">
        <v>1520656.828359531</v>
      </c>
      <c r="DJ44" s="252">
        <v>19167234.657681689</v>
      </c>
      <c r="DK44" s="252">
        <v>284414.33678150887</v>
      </c>
      <c r="DL44" s="252">
        <v>13911620.275728315</v>
      </c>
      <c r="DM44" s="252">
        <v>6620895.5635232236</v>
      </c>
      <c r="DN44" s="252">
        <v>1564354.061320913</v>
      </c>
      <c r="DO44" s="252">
        <v>167490.72491011882</v>
      </c>
      <c r="DP44" s="252">
        <v>331871.90772309224</v>
      </c>
      <c r="DQ44" s="252">
        <v>122121.27141884057</v>
      </c>
      <c r="DR44" s="252">
        <v>16315726.802715916</v>
      </c>
      <c r="DS44" s="252">
        <v>1083427.1360013695</v>
      </c>
      <c r="DT44" s="252">
        <v>131890.46995275593</v>
      </c>
      <c r="DU44" s="252">
        <v>698804.41979490616</v>
      </c>
      <c r="DV44" s="252">
        <v>1685594.3340727584</v>
      </c>
      <c r="DW44" s="252">
        <v>1678977.2638794361</v>
      </c>
      <c r="DX44" s="252">
        <v>14810228.100711189</v>
      </c>
      <c r="DY44" s="252">
        <v>18056944.764126677</v>
      </c>
      <c r="DZ44" s="252">
        <v>9540926.6653010249</v>
      </c>
      <c r="EA44" s="252">
        <v>106299212.59842519</v>
      </c>
      <c r="EB44" s="252">
        <v>23386449.145950511</v>
      </c>
      <c r="EG44" s="252" t="str">
        <f>VLOOKUP(B44,'2022. tervsor'!C:D,2,0)</f>
        <v>Nem levonható egyenes adós ÁFA anyag, szolg.</v>
      </c>
    </row>
    <row r="45" spans="1:137" s="252" customFormat="1" x14ac:dyDescent="0.3">
      <c r="A45" s="435"/>
      <c r="B45" s="435">
        <v>203</v>
      </c>
      <c r="C45" s="252">
        <v>0</v>
      </c>
      <c r="D45" s="252">
        <v>0</v>
      </c>
      <c r="E45" s="252">
        <v>0</v>
      </c>
      <c r="F45" s="252">
        <v>0</v>
      </c>
      <c r="G45" s="252">
        <v>0</v>
      </c>
      <c r="H45" s="252">
        <v>0</v>
      </c>
      <c r="I45" s="252">
        <v>0</v>
      </c>
      <c r="J45" s="252">
        <v>0</v>
      </c>
      <c r="K45" s="252">
        <v>0</v>
      </c>
      <c r="L45" s="252">
        <v>0</v>
      </c>
      <c r="M45" s="252">
        <v>0</v>
      </c>
      <c r="N45" s="252">
        <v>0</v>
      </c>
      <c r="O45" s="252">
        <v>0</v>
      </c>
      <c r="P45" s="252">
        <v>0</v>
      </c>
      <c r="Q45" s="252">
        <v>0</v>
      </c>
      <c r="R45" s="252">
        <v>0</v>
      </c>
      <c r="S45" s="252">
        <v>0</v>
      </c>
      <c r="T45" s="252">
        <v>0</v>
      </c>
      <c r="U45" s="252">
        <v>0</v>
      </c>
      <c r="V45" s="252">
        <v>0</v>
      </c>
      <c r="W45" s="252">
        <v>0</v>
      </c>
      <c r="X45" s="252">
        <v>0</v>
      </c>
      <c r="Y45" s="252">
        <v>0</v>
      </c>
      <c r="Z45" s="252">
        <v>0</v>
      </c>
      <c r="AA45" s="252">
        <v>0</v>
      </c>
      <c r="AB45" s="252">
        <v>0</v>
      </c>
      <c r="AC45" s="252">
        <v>0</v>
      </c>
      <c r="AD45" s="252">
        <v>0</v>
      </c>
      <c r="AE45" s="252">
        <v>0</v>
      </c>
      <c r="AF45" s="252">
        <v>0</v>
      </c>
      <c r="AG45" s="252">
        <v>0</v>
      </c>
      <c r="AH45" s="252">
        <v>0</v>
      </c>
      <c r="AI45" s="252">
        <v>0</v>
      </c>
      <c r="AJ45" s="252">
        <v>0</v>
      </c>
      <c r="AK45" s="252">
        <v>0</v>
      </c>
      <c r="AL45" s="252">
        <v>0</v>
      </c>
      <c r="AM45" s="252">
        <v>0</v>
      </c>
      <c r="AN45" s="252">
        <v>0</v>
      </c>
      <c r="AO45" s="252">
        <v>0</v>
      </c>
      <c r="AP45" s="252">
        <v>0</v>
      </c>
      <c r="AQ45" s="252">
        <v>0</v>
      </c>
      <c r="AR45" s="252">
        <v>0</v>
      </c>
      <c r="AS45" s="252">
        <v>0</v>
      </c>
      <c r="AT45" s="252">
        <v>0</v>
      </c>
      <c r="AU45" s="252">
        <v>0</v>
      </c>
      <c r="AV45" s="252">
        <v>0</v>
      </c>
      <c r="AW45" s="252">
        <v>0</v>
      </c>
      <c r="AX45" s="252">
        <v>0</v>
      </c>
      <c r="AY45" s="252">
        <v>0</v>
      </c>
      <c r="AZ45" s="252">
        <v>0</v>
      </c>
      <c r="BA45" s="252">
        <v>0</v>
      </c>
      <c r="BB45" s="252">
        <v>0</v>
      </c>
      <c r="BC45" s="252">
        <v>0</v>
      </c>
      <c r="BD45" s="252">
        <v>0</v>
      </c>
      <c r="BE45" s="252">
        <v>0</v>
      </c>
      <c r="BF45" s="252">
        <v>0</v>
      </c>
      <c r="BG45" s="252">
        <v>0</v>
      </c>
      <c r="BH45" s="252">
        <v>0</v>
      </c>
      <c r="BI45" s="252">
        <v>0</v>
      </c>
      <c r="BJ45" s="252">
        <v>0</v>
      </c>
      <c r="BK45" s="252">
        <v>0</v>
      </c>
      <c r="BL45" s="252">
        <v>0</v>
      </c>
      <c r="BM45" s="252">
        <v>0</v>
      </c>
      <c r="BN45" s="252">
        <v>0</v>
      </c>
      <c r="BO45" s="252">
        <v>0</v>
      </c>
      <c r="BP45" s="252">
        <v>0</v>
      </c>
      <c r="BQ45" s="252">
        <v>0</v>
      </c>
      <c r="BR45" s="252">
        <v>0</v>
      </c>
      <c r="BS45" s="252">
        <v>0</v>
      </c>
      <c r="BT45" s="252">
        <v>0</v>
      </c>
      <c r="BU45" s="252">
        <v>0</v>
      </c>
      <c r="BV45" s="252">
        <v>0</v>
      </c>
      <c r="BW45" s="252">
        <v>0</v>
      </c>
      <c r="BX45" s="252">
        <v>0</v>
      </c>
      <c r="BY45" s="252">
        <v>0</v>
      </c>
      <c r="BZ45" s="252">
        <v>0</v>
      </c>
      <c r="CA45" s="252">
        <v>0</v>
      </c>
      <c r="CB45" s="252">
        <v>0</v>
      </c>
      <c r="CC45" s="252">
        <v>0</v>
      </c>
      <c r="CD45" s="252">
        <v>0</v>
      </c>
      <c r="CE45" s="252">
        <v>0</v>
      </c>
      <c r="CF45" s="252">
        <v>0</v>
      </c>
      <c r="CG45" s="252">
        <v>0</v>
      </c>
      <c r="CH45" s="252">
        <v>0</v>
      </c>
      <c r="CI45" s="252">
        <v>0</v>
      </c>
      <c r="CJ45" s="252">
        <v>0</v>
      </c>
      <c r="CK45" s="252">
        <v>0</v>
      </c>
      <c r="CL45" s="252">
        <v>0</v>
      </c>
      <c r="CM45" s="252">
        <v>0</v>
      </c>
      <c r="CN45" s="252">
        <v>0</v>
      </c>
      <c r="CO45" s="252">
        <v>0</v>
      </c>
      <c r="CP45" s="252">
        <v>0</v>
      </c>
      <c r="CQ45" s="252">
        <v>0</v>
      </c>
      <c r="CR45" s="252">
        <v>0</v>
      </c>
      <c r="CS45" s="252">
        <v>0</v>
      </c>
      <c r="CT45" s="252">
        <v>0</v>
      </c>
      <c r="CU45" s="252">
        <v>0</v>
      </c>
      <c r="CV45" s="252">
        <v>0</v>
      </c>
      <c r="CW45" s="252">
        <v>0</v>
      </c>
      <c r="CX45" s="252">
        <v>0</v>
      </c>
      <c r="CY45" s="252">
        <v>0</v>
      </c>
      <c r="CZ45" s="252">
        <v>0</v>
      </c>
      <c r="DA45" s="252">
        <v>0</v>
      </c>
      <c r="DB45" s="252">
        <v>0</v>
      </c>
      <c r="DC45" s="252">
        <v>0</v>
      </c>
      <c r="DD45" s="252">
        <v>0</v>
      </c>
      <c r="DE45" s="252">
        <v>0</v>
      </c>
      <c r="DF45" s="252">
        <v>0</v>
      </c>
      <c r="DG45" s="252">
        <v>0</v>
      </c>
      <c r="DH45" s="252">
        <v>64942.506571041005</v>
      </c>
      <c r="DI45" s="252">
        <v>25413.623593858269</v>
      </c>
      <c r="DJ45" s="252">
        <v>268849.89294201584</v>
      </c>
      <c r="DK45" s="252">
        <v>0</v>
      </c>
      <c r="DL45" s="252">
        <v>183240.27143226634</v>
      </c>
      <c r="DM45" s="252">
        <v>88696.891581711781</v>
      </c>
      <c r="DN45" s="252">
        <v>22607.13049417943</v>
      </c>
      <c r="DO45" s="252">
        <v>2313.5936025623855</v>
      </c>
      <c r="DP45" s="252">
        <v>4907.4008759210501</v>
      </c>
      <c r="DQ45" s="252">
        <v>1721.4388307775664</v>
      </c>
      <c r="DR45" s="252">
        <v>0</v>
      </c>
      <c r="DS45" s="252">
        <v>0</v>
      </c>
      <c r="DT45" s="252">
        <v>0</v>
      </c>
      <c r="DU45" s="252">
        <v>0</v>
      </c>
      <c r="DV45" s="252">
        <v>0</v>
      </c>
      <c r="DW45" s="252">
        <v>0</v>
      </c>
      <c r="DX45" s="252">
        <v>0</v>
      </c>
      <c r="DY45" s="252">
        <v>0</v>
      </c>
      <c r="DZ45" s="252">
        <v>0</v>
      </c>
      <c r="EG45" s="252" t="str">
        <f>VLOOKUP(B45,'2022. tervsor'!C:D,2,0)</f>
        <v>Épületek felújítása</v>
      </c>
    </row>
    <row r="46" spans="1:137" s="252" customFormat="1" ht="15.6" x14ac:dyDescent="0.3">
      <c r="A46" s="257"/>
      <c r="B46" s="435">
        <v>210</v>
      </c>
      <c r="C46" s="252">
        <v>0</v>
      </c>
      <c r="D46" s="252">
        <v>0</v>
      </c>
      <c r="E46" s="252">
        <v>0</v>
      </c>
      <c r="F46" s="252">
        <v>0</v>
      </c>
      <c r="G46" s="252">
        <v>0</v>
      </c>
      <c r="H46" s="252">
        <v>0</v>
      </c>
      <c r="I46" s="252">
        <v>0</v>
      </c>
      <c r="J46" s="252">
        <v>0</v>
      </c>
      <c r="K46" s="252">
        <v>0</v>
      </c>
      <c r="L46" s="252">
        <v>0</v>
      </c>
      <c r="M46" s="252">
        <v>0</v>
      </c>
      <c r="N46" s="252">
        <v>0</v>
      </c>
      <c r="O46" s="252">
        <v>0</v>
      </c>
      <c r="P46" s="252">
        <v>0</v>
      </c>
      <c r="Q46" s="252">
        <v>0</v>
      </c>
      <c r="R46" s="252">
        <v>0</v>
      </c>
      <c r="S46" s="252">
        <v>0</v>
      </c>
      <c r="T46" s="252">
        <v>0</v>
      </c>
      <c r="U46" s="252">
        <v>0</v>
      </c>
      <c r="V46" s="252">
        <v>0</v>
      </c>
      <c r="W46" s="252">
        <v>0</v>
      </c>
      <c r="X46" s="252">
        <v>0</v>
      </c>
      <c r="Y46" s="252">
        <v>0</v>
      </c>
      <c r="Z46" s="252">
        <v>0</v>
      </c>
      <c r="AA46" s="252">
        <v>0</v>
      </c>
      <c r="AB46" s="252">
        <v>0</v>
      </c>
      <c r="AC46" s="252">
        <v>0</v>
      </c>
      <c r="AD46" s="252">
        <v>0</v>
      </c>
      <c r="AE46" s="252">
        <v>0</v>
      </c>
      <c r="AF46" s="252">
        <v>0</v>
      </c>
      <c r="AG46" s="252">
        <v>0</v>
      </c>
      <c r="AH46" s="252">
        <v>0</v>
      </c>
      <c r="AI46" s="252">
        <v>0</v>
      </c>
      <c r="AJ46" s="252">
        <v>0</v>
      </c>
      <c r="AK46" s="252">
        <v>0</v>
      </c>
      <c r="AL46" s="252">
        <v>0</v>
      </c>
      <c r="AM46" s="252">
        <v>0</v>
      </c>
      <c r="AN46" s="252">
        <v>0</v>
      </c>
      <c r="AO46" s="252">
        <v>0</v>
      </c>
      <c r="AP46" s="252">
        <v>0</v>
      </c>
      <c r="AQ46" s="252">
        <v>0</v>
      </c>
      <c r="AR46" s="252">
        <v>0</v>
      </c>
      <c r="AS46" s="252">
        <v>0</v>
      </c>
      <c r="AT46" s="252">
        <v>0</v>
      </c>
      <c r="AU46" s="252">
        <v>0</v>
      </c>
      <c r="AV46" s="252">
        <v>0</v>
      </c>
      <c r="AW46" s="252">
        <v>0</v>
      </c>
      <c r="AX46" s="252">
        <v>0</v>
      </c>
      <c r="AY46" s="252">
        <v>0</v>
      </c>
      <c r="AZ46" s="252">
        <v>0</v>
      </c>
      <c r="BA46" s="252">
        <v>0</v>
      </c>
      <c r="BB46" s="252">
        <v>0</v>
      </c>
      <c r="BC46" s="252">
        <v>0</v>
      </c>
      <c r="BD46" s="252">
        <v>0</v>
      </c>
      <c r="BE46" s="252">
        <v>0</v>
      </c>
      <c r="BF46" s="252">
        <v>0</v>
      </c>
      <c r="BG46" s="252">
        <v>0</v>
      </c>
      <c r="BH46" s="252">
        <v>0</v>
      </c>
      <c r="BI46" s="252">
        <v>0</v>
      </c>
      <c r="BJ46" s="252">
        <v>0</v>
      </c>
      <c r="BK46" s="252">
        <v>0</v>
      </c>
      <c r="BL46" s="252">
        <v>0</v>
      </c>
      <c r="BM46" s="252">
        <v>0</v>
      </c>
      <c r="BN46" s="252">
        <v>0</v>
      </c>
      <c r="BO46" s="252">
        <v>0</v>
      </c>
      <c r="BP46" s="252">
        <v>0</v>
      </c>
      <c r="BQ46" s="252">
        <v>0</v>
      </c>
      <c r="BR46" s="252">
        <v>0</v>
      </c>
      <c r="BS46" s="252">
        <v>0</v>
      </c>
      <c r="BT46" s="252">
        <v>0</v>
      </c>
      <c r="BU46" s="252">
        <v>0</v>
      </c>
      <c r="BV46" s="252">
        <v>0</v>
      </c>
      <c r="BW46" s="252">
        <v>0</v>
      </c>
      <c r="BX46" s="252">
        <v>0</v>
      </c>
      <c r="BY46" s="252">
        <v>0</v>
      </c>
      <c r="BZ46" s="252">
        <v>0</v>
      </c>
      <c r="CA46" s="252">
        <v>0</v>
      </c>
      <c r="CB46" s="252">
        <v>0</v>
      </c>
      <c r="CC46" s="252">
        <v>0</v>
      </c>
      <c r="CD46" s="252">
        <v>0</v>
      </c>
      <c r="CE46" s="252">
        <v>0</v>
      </c>
      <c r="CF46" s="252">
        <v>0</v>
      </c>
      <c r="CG46" s="252">
        <v>0</v>
      </c>
      <c r="CH46" s="252">
        <v>0</v>
      </c>
      <c r="CI46" s="252">
        <v>0</v>
      </c>
      <c r="CJ46" s="252">
        <v>0</v>
      </c>
      <c r="CK46" s="252">
        <v>0</v>
      </c>
      <c r="CL46" s="252">
        <v>0</v>
      </c>
      <c r="CM46" s="252">
        <v>0</v>
      </c>
      <c r="CN46" s="252">
        <v>0</v>
      </c>
      <c r="CO46" s="252">
        <v>0</v>
      </c>
      <c r="CP46" s="252">
        <v>0</v>
      </c>
      <c r="CQ46" s="252">
        <v>0</v>
      </c>
      <c r="CR46" s="252">
        <v>0</v>
      </c>
      <c r="CS46" s="252">
        <v>0</v>
      </c>
      <c r="CT46" s="252">
        <v>0</v>
      </c>
      <c r="CU46" s="252">
        <v>0</v>
      </c>
      <c r="CV46" s="252">
        <v>0</v>
      </c>
      <c r="CW46" s="252">
        <v>0</v>
      </c>
      <c r="CX46" s="252">
        <v>0</v>
      </c>
      <c r="CY46" s="252">
        <v>0</v>
      </c>
      <c r="CZ46" s="252">
        <v>0</v>
      </c>
      <c r="DA46" s="252">
        <v>0</v>
      </c>
      <c r="DB46" s="252">
        <v>0</v>
      </c>
      <c r="DC46" s="252">
        <v>0</v>
      </c>
      <c r="DD46" s="252">
        <v>0</v>
      </c>
      <c r="DE46" s="252">
        <v>0</v>
      </c>
      <c r="DF46" s="252">
        <v>0</v>
      </c>
      <c r="DG46" s="252">
        <v>0</v>
      </c>
      <c r="DH46" s="252">
        <v>17534.476774181072</v>
      </c>
      <c r="DI46" s="252">
        <v>6861.6783703417332</v>
      </c>
      <c r="DJ46" s="252">
        <v>72589.471094344291</v>
      </c>
      <c r="DK46" s="252">
        <v>0</v>
      </c>
      <c r="DL46" s="252">
        <v>49474.873286711911</v>
      </c>
      <c r="DM46" s="252">
        <v>23948.160727062183</v>
      </c>
      <c r="DN46" s="252">
        <v>6103.9252334284456</v>
      </c>
      <c r="DO46" s="252">
        <v>624.67027269184416</v>
      </c>
      <c r="DP46" s="252">
        <v>1324.9982364986836</v>
      </c>
      <c r="DQ46" s="252">
        <v>464.78848430994304</v>
      </c>
      <c r="DR46" s="252">
        <v>0</v>
      </c>
      <c r="DS46" s="252">
        <v>0</v>
      </c>
      <c r="DT46" s="252">
        <v>0</v>
      </c>
      <c r="DU46" s="252">
        <v>0</v>
      </c>
      <c r="DV46" s="252">
        <v>0</v>
      </c>
      <c r="DW46" s="252">
        <v>0</v>
      </c>
      <c r="DX46" s="252">
        <v>0</v>
      </c>
      <c r="DY46" s="252">
        <v>0</v>
      </c>
      <c r="DZ46" s="252">
        <v>0</v>
      </c>
      <c r="EG46" s="252" t="str">
        <f>VLOOKUP(B46,'2022. tervsor'!C:D,2,0)</f>
        <v>Nem levonható egyenes adós ÁFA felújítás</v>
      </c>
    </row>
    <row r="47" spans="1:137" s="252" customFormat="1" x14ac:dyDescent="0.3">
      <c r="A47" s="435"/>
      <c r="B47" s="435">
        <v>249</v>
      </c>
      <c r="C47" s="252">
        <v>0</v>
      </c>
      <c r="D47" s="252">
        <v>0</v>
      </c>
      <c r="E47" s="252">
        <v>0</v>
      </c>
      <c r="F47" s="252">
        <v>0</v>
      </c>
      <c r="G47" s="252">
        <v>0</v>
      </c>
      <c r="H47" s="252">
        <v>0</v>
      </c>
      <c r="I47" s="252">
        <v>0</v>
      </c>
      <c r="J47" s="252">
        <v>0</v>
      </c>
      <c r="K47" s="252">
        <v>0</v>
      </c>
      <c r="L47" s="252">
        <v>0</v>
      </c>
      <c r="M47" s="252">
        <v>0</v>
      </c>
      <c r="N47" s="252">
        <v>0</v>
      </c>
      <c r="O47" s="252">
        <v>0</v>
      </c>
      <c r="P47" s="252">
        <v>0</v>
      </c>
      <c r="Q47" s="252">
        <v>0</v>
      </c>
      <c r="R47" s="252">
        <v>0</v>
      </c>
      <c r="S47" s="252">
        <v>0</v>
      </c>
      <c r="T47" s="252">
        <v>0</v>
      </c>
      <c r="U47" s="252">
        <v>0</v>
      </c>
      <c r="V47" s="252">
        <v>0</v>
      </c>
      <c r="W47" s="252">
        <v>0</v>
      </c>
      <c r="X47" s="252">
        <v>0</v>
      </c>
      <c r="Y47" s="252">
        <v>0</v>
      </c>
      <c r="Z47" s="252">
        <v>0</v>
      </c>
      <c r="AA47" s="252">
        <v>0</v>
      </c>
      <c r="AB47" s="252">
        <v>0</v>
      </c>
      <c r="AC47" s="252">
        <v>0</v>
      </c>
      <c r="AD47" s="252">
        <v>0</v>
      </c>
      <c r="AE47" s="252">
        <v>0</v>
      </c>
      <c r="AF47" s="252">
        <v>0</v>
      </c>
      <c r="AG47" s="252">
        <v>0</v>
      </c>
      <c r="AH47" s="252">
        <v>0</v>
      </c>
      <c r="AI47" s="252">
        <v>0</v>
      </c>
      <c r="AJ47" s="252">
        <v>0</v>
      </c>
      <c r="AK47" s="252">
        <v>0</v>
      </c>
      <c r="AL47" s="252">
        <v>0</v>
      </c>
      <c r="AM47" s="252">
        <v>0</v>
      </c>
      <c r="AN47" s="252">
        <v>0</v>
      </c>
      <c r="AO47" s="252">
        <v>0</v>
      </c>
      <c r="AP47" s="252">
        <v>0</v>
      </c>
      <c r="AQ47" s="252">
        <v>0</v>
      </c>
      <c r="AR47" s="252">
        <v>0</v>
      </c>
      <c r="AS47" s="252">
        <v>0</v>
      </c>
      <c r="AT47" s="252">
        <v>0</v>
      </c>
      <c r="AU47" s="252">
        <v>0</v>
      </c>
      <c r="AV47" s="252">
        <v>0</v>
      </c>
      <c r="AW47" s="252">
        <v>0</v>
      </c>
      <c r="AX47" s="252">
        <v>0</v>
      </c>
      <c r="AY47" s="252">
        <v>0</v>
      </c>
      <c r="AZ47" s="252">
        <v>0</v>
      </c>
      <c r="BA47" s="252">
        <v>0</v>
      </c>
      <c r="BB47" s="252">
        <v>0</v>
      </c>
      <c r="BC47" s="252">
        <v>0</v>
      </c>
      <c r="BD47" s="252">
        <v>0</v>
      </c>
      <c r="BE47" s="252">
        <v>0</v>
      </c>
      <c r="BF47" s="252">
        <v>0</v>
      </c>
      <c r="BG47" s="252">
        <v>0</v>
      </c>
      <c r="BH47" s="252">
        <v>0</v>
      </c>
      <c r="BI47" s="252">
        <v>0</v>
      </c>
      <c r="BJ47" s="252">
        <v>0</v>
      </c>
      <c r="BK47" s="252">
        <v>0</v>
      </c>
      <c r="BL47" s="252">
        <v>0</v>
      </c>
      <c r="BM47" s="252">
        <v>0</v>
      </c>
      <c r="BN47" s="252">
        <v>0</v>
      </c>
      <c r="BO47" s="252">
        <v>0</v>
      </c>
      <c r="BP47" s="252">
        <v>0</v>
      </c>
      <c r="BQ47" s="252">
        <v>0</v>
      </c>
      <c r="BR47" s="252">
        <v>0</v>
      </c>
      <c r="BS47" s="252">
        <v>0</v>
      </c>
      <c r="BT47" s="252">
        <v>0</v>
      </c>
      <c r="BU47" s="252">
        <v>0</v>
      </c>
      <c r="BV47" s="252">
        <v>3193969.0220045433</v>
      </c>
      <c r="BW47" s="252">
        <v>0</v>
      </c>
      <c r="BX47" s="252">
        <v>0</v>
      </c>
      <c r="BY47" s="252">
        <v>0</v>
      </c>
      <c r="BZ47" s="252">
        <v>0</v>
      </c>
      <c r="CA47" s="252">
        <v>0</v>
      </c>
      <c r="CB47" s="252">
        <v>0</v>
      </c>
      <c r="CC47" s="252">
        <v>0</v>
      </c>
      <c r="CD47" s="252">
        <v>0</v>
      </c>
      <c r="CE47" s="252">
        <v>0</v>
      </c>
      <c r="CF47" s="252">
        <v>0</v>
      </c>
      <c r="CG47" s="252">
        <v>0</v>
      </c>
      <c r="CH47" s="252">
        <v>0</v>
      </c>
      <c r="CI47" s="252">
        <v>0</v>
      </c>
      <c r="CJ47" s="252">
        <v>0</v>
      </c>
      <c r="CK47" s="252">
        <v>0</v>
      </c>
      <c r="CL47" s="252">
        <v>0</v>
      </c>
      <c r="CM47" s="252">
        <v>0</v>
      </c>
      <c r="CN47" s="252">
        <v>0</v>
      </c>
      <c r="CO47" s="252">
        <v>0</v>
      </c>
      <c r="CP47" s="252">
        <v>0</v>
      </c>
      <c r="CQ47" s="252">
        <v>0</v>
      </c>
      <c r="CR47" s="252">
        <v>0</v>
      </c>
      <c r="CS47" s="252">
        <v>0</v>
      </c>
      <c r="CT47" s="252">
        <v>0</v>
      </c>
      <c r="CU47" s="252">
        <v>0</v>
      </c>
      <c r="CV47" s="252">
        <v>0</v>
      </c>
      <c r="CW47" s="252">
        <v>0</v>
      </c>
      <c r="CX47" s="252">
        <v>0</v>
      </c>
      <c r="CY47" s="252">
        <v>0</v>
      </c>
      <c r="CZ47" s="252">
        <v>0</v>
      </c>
      <c r="DA47" s="252">
        <v>0</v>
      </c>
      <c r="DB47" s="252">
        <v>0</v>
      </c>
      <c r="DC47" s="252">
        <v>0</v>
      </c>
      <c r="DD47" s="252">
        <v>0</v>
      </c>
      <c r="DE47" s="252">
        <v>0</v>
      </c>
      <c r="DF47" s="252">
        <v>0</v>
      </c>
      <c r="DG47" s="252">
        <v>0</v>
      </c>
      <c r="DH47" s="252">
        <v>0</v>
      </c>
      <c r="DI47" s="252">
        <v>0</v>
      </c>
      <c r="DJ47" s="252">
        <v>0</v>
      </c>
      <c r="DK47" s="252">
        <v>0</v>
      </c>
      <c r="DL47" s="252">
        <v>0</v>
      </c>
      <c r="DM47" s="252">
        <v>0</v>
      </c>
      <c r="DN47" s="252">
        <v>0</v>
      </c>
      <c r="DO47" s="252">
        <v>0</v>
      </c>
      <c r="DP47" s="252">
        <v>0</v>
      </c>
      <c r="DQ47" s="252">
        <v>0</v>
      </c>
      <c r="DR47" s="252">
        <v>0</v>
      </c>
      <c r="DS47" s="252">
        <v>0</v>
      </c>
      <c r="DT47" s="252">
        <v>0</v>
      </c>
      <c r="DU47" s="252">
        <v>0</v>
      </c>
      <c r="DV47" s="252">
        <v>0</v>
      </c>
      <c r="DW47" s="252">
        <v>0</v>
      </c>
      <c r="DX47" s="252">
        <v>0</v>
      </c>
      <c r="DY47" s="252">
        <v>0</v>
      </c>
      <c r="DZ47" s="252">
        <v>0</v>
      </c>
      <c r="EG47" s="252" t="str">
        <f>VLOOKUP(B47,'2022. tervsor'!C:D,2,0)</f>
        <v>Közvetített szolgáltatások ellenértéke ÁH-n belül</v>
      </c>
    </row>
    <row r="48" spans="1:137" s="252" customFormat="1" ht="15.6" x14ac:dyDescent="0.3">
      <c r="A48" s="435"/>
      <c r="B48" s="258">
        <v>273</v>
      </c>
      <c r="C48" s="252">
        <v>0</v>
      </c>
      <c r="D48" s="252">
        <v>0</v>
      </c>
      <c r="E48" s="252">
        <v>0</v>
      </c>
      <c r="F48" s="252">
        <v>0</v>
      </c>
      <c r="G48" s="252">
        <v>0</v>
      </c>
      <c r="H48" s="252">
        <v>0</v>
      </c>
      <c r="I48" s="252">
        <v>0</v>
      </c>
      <c r="J48" s="252">
        <v>0</v>
      </c>
      <c r="K48" s="252">
        <v>0</v>
      </c>
      <c r="L48" s="252">
        <v>0</v>
      </c>
      <c r="M48" s="252">
        <v>0</v>
      </c>
      <c r="N48" s="252">
        <v>0</v>
      </c>
      <c r="O48" s="252">
        <v>0</v>
      </c>
      <c r="P48" s="252">
        <v>0</v>
      </c>
      <c r="Q48" s="252">
        <v>0</v>
      </c>
      <c r="R48" s="252">
        <v>0</v>
      </c>
      <c r="S48" s="252">
        <v>0</v>
      </c>
      <c r="T48" s="252">
        <v>0</v>
      </c>
      <c r="U48" s="252">
        <v>0</v>
      </c>
      <c r="V48" s="252">
        <v>0</v>
      </c>
      <c r="W48" s="252">
        <v>0</v>
      </c>
      <c r="X48" s="252">
        <v>0</v>
      </c>
      <c r="Y48" s="252">
        <v>0</v>
      </c>
      <c r="Z48" s="252">
        <v>0</v>
      </c>
      <c r="AA48" s="252">
        <v>0</v>
      </c>
      <c r="AB48" s="252">
        <v>0</v>
      </c>
      <c r="AC48" s="252">
        <v>0</v>
      </c>
      <c r="AD48" s="252">
        <v>0</v>
      </c>
      <c r="AE48" s="252">
        <v>0</v>
      </c>
      <c r="AF48" s="252">
        <v>0</v>
      </c>
      <c r="AG48" s="252">
        <v>0</v>
      </c>
      <c r="AH48" s="252">
        <v>0</v>
      </c>
      <c r="AI48" s="252">
        <v>0</v>
      </c>
      <c r="AJ48" s="252">
        <v>0</v>
      </c>
      <c r="AK48" s="252">
        <v>0</v>
      </c>
      <c r="AL48" s="252">
        <v>0</v>
      </c>
      <c r="AM48" s="252">
        <v>0</v>
      </c>
      <c r="AN48" s="252">
        <v>0</v>
      </c>
      <c r="AO48" s="252">
        <v>0</v>
      </c>
      <c r="AP48" s="252">
        <v>0</v>
      </c>
      <c r="AQ48" s="252">
        <v>0</v>
      </c>
      <c r="AR48" s="252">
        <v>0</v>
      </c>
      <c r="AS48" s="252">
        <v>0</v>
      </c>
      <c r="AT48" s="252">
        <v>0</v>
      </c>
      <c r="AU48" s="252">
        <v>0</v>
      </c>
      <c r="AV48" s="252">
        <v>0</v>
      </c>
      <c r="AW48" s="252">
        <v>0</v>
      </c>
      <c r="AX48" s="252">
        <v>0</v>
      </c>
      <c r="AY48" s="252">
        <v>0</v>
      </c>
      <c r="AZ48" s="252">
        <v>0</v>
      </c>
      <c r="BA48" s="252">
        <v>0</v>
      </c>
      <c r="BB48" s="252">
        <v>0</v>
      </c>
      <c r="BC48" s="252">
        <v>0</v>
      </c>
      <c r="BD48" s="252">
        <v>0</v>
      </c>
      <c r="BE48" s="252">
        <v>0</v>
      </c>
      <c r="BF48" s="252">
        <v>0</v>
      </c>
      <c r="BG48" s="252">
        <v>0</v>
      </c>
      <c r="BH48" s="252">
        <v>0</v>
      </c>
      <c r="BI48" s="252">
        <v>0</v>
      </c>
      <c r="BJ48" s="252">
        <v>0</v>
      </c>
      <c r="BK48" s="252">
        <v>0</v>
      </c>
      <c r="BL48" s="252">
        <v>0</v>
      </c>
      <c r="BM48" s="252">
        <v>0</v>
      </c>
      <c r="BN48" s="252">
        <v>0</v>
      </c>
      <c r="BO48" s="252">
        <v>0</v>
      </c>
      <c r="BP48" s="252">
        <v>0</v>
      </c>
      <c r="BQ48" s="252">
        <v>0</v>
      </c>
      <c r="BR48" s="252">
        <v>0</v>
      </c>
      <c r="BS48" s="252">
        <v>0</v>
      </c>
      <c r="BT48" s="252">
        <v>0</v>
      </c>
      <c r="BU48" s="252">
        <v>0</v>
      </c>
      <c r="BV48" s="252">
        <v>862371.63594122673</v>
      </c>
      <c r="BW48" s="252">
        <v>0</v>
      </c>
      <c r="BX48" s="252">
        <v>0</v>
      </c>
      <c r="BY48" s="252">
        <v>0</v>
      </c>
      <c r="BZ48" s="252">
        <v>0</v>
      </c>
      <c r="CA48" s="252">
        <v>0</v>
      </c>
      <c r="CB48" s="252">
        <v>0</v>
      </c>
      <c r="CC48" s="252">
        <v>0</v>
      </c>
      <c r="CD48" s="252">
        <v>0</v>
      </c>
      <c r="CE48" s="252">
        <v>0</v>
      </c>
      <c r="CF48" s="252">
        <v>0</v>
      </c>
      <c r="CG48" s="252">
        <v>0</v>
      </c>
      <c r="CH48" s="252">
        <v>0</v>
      </c>
      <c r="CI48" s="252">
        <v>0</v>
      </c>
      <c r="CJ48" s="252">
        <v>0</v>
      </c>
      <c r="CK48" s="252">
        <v>0</v>
      </c>
      <c r="CL48" s="252">
        <v>0</v>
      </c>
      <c r="CM48" s="252">
        <v>0</v>
      </c>
      <c r="CN48" s="252">
        <v>0</v>
      </c>
      <c r="CO48" s="252">
        <v>0</v>
      </c>
      <c r="CP48" s="252">
        <v>0</v>
      </c>
      <c r="CQ48" s="252">
        <v>0</v>
      </c>
      <c r="CR48" s="252">
        <v>0</v>
      </c>
      <c r="CS48" s="252">
        <v>0</v>
      </c>
      <c r="CT48" s="252">
        <v>0</v>
      </c>
      <c r="CU48" s="252">
        <v>0</v>
      </c>
      <c r="CV48" s="252">
        <v>0</v>
      </c>
      <c r="CW48" s="252">
        <v>0</v>
      </c>
      <c r="CX48" s="252">
        <v>0</v>
      </c>
      <c r="CY48" s="252">
        <v>0</v>
      </c>
      <c r="CZ48" s="252">
        <v>0</v>
      </c>
      <c r="DA48" s="252">
        <v>0</v>
      </c>
      <c r="DB48" s="252">
        <v>0</v>
      </c>
      <c r="DC48" s="252">
        <v>0</v>
      </c>
      <c r="DD48" s="252">
        <v>0</v>
      </c>
      <c r="DE48" s="252">
        <v>0</v>
      </c>
      <c r="DF48" s="252">
        <v>0</v>
      </c>
      <c r="DG48" s="252">
        <v>0</v>
      </c>
      <c r="DH48" s="252">
        <v>0</v>
      </c>
      <c r="DI48" s="252">
        <v>0</v>
      </c>
      <c r="DJ48" s="252">
        <v>0</v>
      </c>
      <c r="DK48" s="252">
        <v>0</v>
      </c>
      <c r="DL48" s="252">
        <v>0</v>
      </c>
      <c r="DM48" s="252">
        <v>0</v>
      </c>
      <c r="DN48" s="252">
        <v>0</v>
      </c>
      <c r="DO48" s="252">
        <v>0</v>
      </c>
      <c r="DP48" s="252">
        <v>0</v>
      </c>
      <c r="DQ48" s="252">
        <v>0</v>
      </c>
      <c r="DR48" s="252">
        <v>0</v>
      </c>
      <c r="DS48" s="252">
        <v>0</v>
      </c>
      <c r="DT48" s="252">
        <v>0</v>
      </c>
      <c r="DU48" s="252">
        <v>0</v>
      </c>
      <c r="DV48" s="252">
        <v>0</v>
      </c>
      <c r="DW48" s="252">
        <v>0</v>
      </c>
      <c r="DX48" s="252">
        <v>0</v>
      </c>
      <c r="DY48" s="252">
        <v>0</v>
      </c>
      <c r="DZ48" s="252">
        <v>0</v>
      </c>
    </row>
    <row r="49" spans="1:139" s="260" customFormat="1" x14ac:dyDescent="0.3">
      <c r="A49" s="440"/>
      <c r="B49" s="440" t="s">
        <v>2602</v>
      </c>
      <c r="C49" s="260">
        <v>8161110.2821897101</v>
      </c>
      <c r="D49" s="260">
        <v>86562213.604253545</v>
      </c>
      <c r="E49" s="260">
        <v>6867180.1702625984</v>
      </c>
      <c r="F49" s="260">
        <v>2710095.5162190432</v>
      </c>
      <c r="G49" s="260">
        <v>55669709.653683916</v>
      </c>
      <c r="H49" s="260">
        <v>26013817.178115312</v>
      </c>
      <c r="I49" s="260">
        <v>266124.96280184441</v>
      </c>
      <c r="J49" s="260">
        <v>958807.63020025496</v>
      </c>
      <c r="K49" s="260">
        <v>1584212.5914881283</v>
      </c>
      <c r="L49" s="260">
        <v>7324541.0237479117</v>
      </c>
      <c r="M49" s="260">
        <v>183270461.27860856</v>
      </c>
      <c r="N49" s="260">
        <v>10127126.245440818</v>
      </c>
      <c r="O49" s="260">
        <v>497063.85655245953</v>
      </c>
      <c r="P49" s="260">
        <v>1849921.2559366496</v>
      </c>
      <c r="Q49" s="260">
        <v>89111059.222843915</v>
      </c>
      <c r="R49" s="260">
        <v>18411677.674934596</v>
      </c>
      <c r="S49" s="260">
        <v>4987179.5838926183</v>
      </c>
      <c r="T49" s="260">
        <v>43271255.418656342</v>
      </c>
      <c r="U49" s="260">
        <v>40768218.559195116</v>
      </c>
      <c r="V49" s="260">
        <v>23279655.286475237</v>
      </c>
      <c r="W49" s="260">
        <v>18553721.093285102</v>
      </c>
      <c r="X49" s="260">
        <v>494368418.5295859</v>
      </c>
      <c r="Y49" s="261">
        <v>3558153.2206555605</v>
      </c>
      <c r="Z49" s="260">
        <v>5033478.6605030764</v>
      </c>
      <c r="AA49" s="260">
        <v>14604860.22025767</v>
      </c>
      <c r="AB49" s="260">
        <v>4861732.0615136437</v>
      </c>
      <c r="AC49" s="260">
        <v>1976860.2403909238</v>
      </c>
      <c r="AD49" s="260">
        <v>3646909.061200168</v>
      </c>
      <c r="AE49" s="260">
        <v>529959799.93398792</v>
      </c>
      <c r="AF49" s="260">
        <v>3180313.0029304177</v>
      </c>
      <c r="AG49" s="260">
        <v>5265406.5437650252</v>
      </c>
      <c r="AH49" s="260">
        <v>15817069.077129599</v>
      </c>
      <c r="AI49" s="260">
        <v>12096296.400083765</v>
      </c>
      <c r="AJ49" s="260">
        <v>2018371.3362433086</v>
      </c>
      <c r="AK49" s="260">
        <v>246633.04749999999</v>
      </c>
      <c r="AL49" s="260">
        <v>35013209.957514115</v>
      </c>
      <c r="AM49" s="260">
        <v>17233205.034998264</v>
      </c>
      <c r="AN49" s="260">
        <v>79439380.835594893</v>
      </c>
      <c r="AO49" s="260">
        <v>3434436.3074305858</v>
      </c>
      <c r="AP49" s="260">
        <v>0</v>
      </c>
      <c r="AQ49" s="260">
        <v>86552695.137456223</v>
      </c>
      <c r="AR49" s="260">
        <v>22102496.890634947</v>
      </c>
      <c r="AS49" s="260">
        <v>15857137.625034835</v>
      </c>
      <c r="AT49" s="260">
        <v>16398370.109412383</v>
      </c>
      <c r="AU49" s="260">
        <v>93929970.519911095</v>
      </c>
      <c r="AV49" s="260">
        <v>63755392.939833082</v>
      </c>
      <c r="AW49" s="260">
        <v>1158547627.1707656</v>
      </c>
      <c r="AX49" s="260">
        <v>241432667.89550805</v>
      </c>
      <c r="AY49" s="260">
        <v>90952735.582657978</v>
      </c>
      <c r="AZ49" s="260">
        <v>16312717.038720023</v>
      </c>
      <c r="BA49" s="260">
        <v>0</v>
      </c>
      <c r="BB49" s="260">
        <v>3075895.4682487636</v>
      </c>
      <c r="BC49" s="260">
        <v>13989878.136604898</v>
      </c>
      <c r="BD49" s="260">
        <v>4229978.8278301619</v>
      </c>
      <c r="BE49" s="260">
        <v>3527747.2071633306</v>
      </c>
      <c r="BF49" s="260">
        <v>0</v>
      </c>
      <c r="BG49" s="260">
        <v>22976988.858620331</v>
      </c>
      <c r="BH49" s="260">
        <v>7478720.8990000002</v>
      </c>
      <c r="BI49" s="260">
        <v>66884228.057347052</v>
      </c>
      <c r="BJ49" s="260">
        <v>1270710.6670346304</v>
      </c>
      <c r="BK49" s="260">
        <v>26235386.26598531</v>
      </c>
      <c r="BL49" s="260">
        <v>33666717.688076794</v>
      </c>
      <c r="BM49" s="260">
        <v>977017.42477461044</v>
      </c>
      <c r="BN49" s="260">
        <v>268059502.2361587</v>
      </c>
      <c r="BO49" s="260">
        <v>3614793.5183589398</v>
      </c>
      <c r="BP49" s="260">
        <v>153112746.22291183</v>
      </c>
      <c r="BQ49" s="260">
        <v>57373870.962640807</v>
      </c>
      <c r="BR49" s="260">
        <v>4911987.2134293644</v>
      </c>
      <c r="BS49" s="260">
        <v>14718603.801073048</v>
      </c>
      <c r="BT49" s="260">
        <v>3227287.6144623924</v>
      </c>
      <c r="BU49" s="260">
        <v>92797643.633125335</v>
      </c>
      <c r="BV49" s="260">
        <v>27928837.700000007</v>
      </c>
      <c r="BW49" s="260">
        <v>19808578.953108378</v>
      </c>
      <c r="BX49" s="260">
        <v>31505443.852249458</v>
      </c>
      <c r="BY49" s="260">
        <v>75577904.343309224</v>
      </c>
      <c r="BZ49" s="260">
        <v>74050978.049870625</v>
      </c>
      <c r="CA49" s="260">
        <v>10007849.7014529</v>
      </c>
      <c r="CB49" s="260">
        <v>8622218.9814371914</v>
      </c>
      <c r="CC49" s="260">
        <v>0</v>
      </c>
      <c r="CD49" s="260">
        <v>7949768.2802094352</v>
      </c>
      <c r="CE49" s="260">
        <v>2891078.3495752076</v>
      </c>
      <c r="CF49" s="260">
        <v>10618636.010794537</v>
      </c>
      <c r="CG49" s="260">
        <v>6001365.7102174554</v>
      </c>
      <c r="CH49" s="260">
        <v>18332226.129880257</v>
      </c>
      <c r="CI49" s="260">
        <v>0</v>
      </c>
      <c r="CJ49" s="260">
        <v>0</v>
      </c>
      <c r="CK49" s="260">
        <v>583522</v>
      </c>
      <c r="CL49" s="260">
        <v>9379001.4585873745</v>
      </c>
      <c r="CM49" s="260">
        <v>87225570.7928904</v>
      </c>
      <c r="CN49" s="260">
        <v>4593264.2950275652</v>
      </c>
      <c r="CO49" s="260">
        <v>11547637.870375127</v>
      </c>
      <c r="CP49" s="260">
        <v>42659887.682451025</v>
      </c>
      <c r="CQ49" s="260">
        <v>11050691.986865072</v>
      </c>
      <c r="CR49" s="260">
        <v>20323668.799817827</v>
      </c>
      <c r="CS49" s="260">
        <v>17696701.168172408</v>
      </c>
      <c r="CT49" s="260">
        <v>9815536.8247260898</v>
      </c>
      <c r="CU49" s="260">
        <v>4331236.1057222551</v>
      </c>
      <c r="CV49" s="260">
        <v>5464350.9619837236</v>
      </c>
      <c r="CW49" s="260">
        <v>105965993.55191404</v>
      </c>
      <c r="CX49" s="260">
        <v>67137403.098253548</v>
      </c>
      <c r="CY49" s="260">
        <v>10191178.150325641</v>
      </c>
      <c r="CZ49" s="260">
        <v>10868102.01925724</v>
      </c>
      <c r="DA49" s="260">
        <v>969631.88139976026</v>
      </c>
      <c r="DB49" s="260">
        <v>434989.61355423892</v>
      </c>
      <c r="DC49" s="260">
        <v>787445.39060782769</v>
      </c>
      <c r="DD49" s="260">
        <v>222341.04246143124</v>
      </c>
      <c r="DE49" s="260">
        <v>1416131.7877477147</v>
      </c>
      <c r="DF49" s="260">
        <v>2018264.279581951</v>
      </c>
      <c r="DG49" s="260">
        <v>0</v>
      </c>
      <c r="DH49" s="260">
        <v>23145200.209557641</v>
      </c>
      <c r="DI49" s="260">
        <v>8318479.2229632959</v>
      </c>
      <c r="DJ49" s="260">
        <v>98678310.036165074</v>
      </c>
      <c r="DK49" s="260">
        <v>1402712.2647647155</v>
      </c>
      <c r="DL49" s="260">
        <v>68959663.265957519</v>
      </c>
      <c r="DM49" s="260">
        <v>33142266.569943551</v>
      </c>
      <c r="DN49" s="260">
        <v>8097291.4593327809</v>
      </c>
      <c r="DO49" s="260">
        <v>914762.38073046808</v>
      </c>
      <c r="DP49" s="260">
        <v>2068803.89748132</v>
      </c>
      <c r="DQ49" s="260">
        <v>668966.88661106501</v>
      </c>
      <c r="DR49" s="260">
        <v>92056824.274444953</v>
      </c>
      <c r="DS49" s="260">
        <v>11816443.794769367</v>
      </c>
      <c r="DT49" s="260">
        <v>620858.40873604396</v>
      </c>
      <c r="DU49" s="260">
        <v>23201398.795663081</v>
      </c>
      <c r="DV49" s="260">
        <v>24338787.38470469</v>
      </c>
      <c r="DW49" s="260">
        <v>33119492.061645638</v>
      </c>
      <c r="DX49" s="260">
        <v>79246224.333706468</v>
      </c>
      <c r="DY49" s="260">
        <v>91779552.04164733</v>
      </c>
      <c r="DZ49" s="260">
        <v>45023943.385343619</v>
      </c>
      <c r="EA49" s="260">
        <v>500000000</v>
      </c>
      <c r="EB49" s="260">
        <v>110002927.46428573</v>
      </c>
      <c r="ED49" s="260">
        <v>5814548618.670845</v>
      </c>
      <c r="EI49" s="262" t="s">
        <v>3121</v>
      </c>
    </row>
    <row r="50" spans="1:139" s="253" customFormat="1" x14ac:dyDescent="0.3">
      <c r="A50" s="263"/>
      <c r="B50" s="263" t="s">
        <v>3513</v>
      </c>
      <c r="C50" s="264">
        <v>8161110.2821897101</v>
      </c>
      <c r="D50" s="264">
        <v>86562213.604253531</v>
      </c>
      <c r="E50" s="264">
        <v>6867180.1702625966</v>
      </c>
      <c r="F50" s="264">
        <v>2710095.5162190432</v>
      </c>
      <c r="G50" s="264">
        <v>55669709.653683931</v>
      </c>
      <c r="H50" s="264">
        <v>26013817.178115316</v>
      </c>
      <c r="I50" s="264">
        <v>266124.96280184441</v>
      </c>
      <c r="J50" s="264">
        <v>958807.63020025496</v>
      </c>
      <c r="K50" s="264">
        <v>1584212.5914881283</v>
      </c>
      <c r="L50" s="264">
        <v>7324541.0237479117</v>
      </c>
      <c r="M50" s="264">
        <v>183270461.27860856</v>
      </c>
      <c r="N50" s="264">
        <v>10127126.245440818</v>
      </c>
      <c r="O50" s="264">
        <v>497063.85655245947</v>
      </c>
      <c r="P50" s="264">
        <v>1849921.2559366494</v>
      </c>
      <c r="Q50" s="264">
        <v>89111059.22284393</v>
      </c>
      <c r="R50" s="264">
        <v>18411677.674934596</v>
      </c>
      <c r="S50" s="264">
        <v>4987179.5838926174</v>
      </c>
      <c r="T50" s="264">
        <v>43271255.418656349</v>
      </c>
      <c r="U50" s="264">
        <v>40768218.559195116</v>
      </c>
      <c r="V50" s="264">
        <v>23279655.286475241</v>
      </c>
      <c r="W50" s="264">
        <v>18553721.093285099</v>
      </c>
      <c r="X50" s="264">
        <v>299247923.75287366</v>
      </c>
      <c r="Y50" s="264">
        <v>2140554.0814729822</v>
      </c>
      <c r="Z50" s="264">
        <v>2854531.3697590921</v>
      </c>
      <c r="AA50" s="264">
        <v>8452600.8427885994</v>
      </c>
      <c r="AB50" s="264"/>
      <c r="AC50" s="264">
        <v>1196793.2093019499</v>
      </c>
      <c r="AD50" s="264">
        <v>3646909.0612001675</v>
      </c>
      <c r="AE50" s="264">
        <v>529959799.93398792</v>
      </c>
      <c r="AF50" s="264">
        <v>3180313.0029304181</v>
      </c>
      <c r="AG50" s="264">
        <v>5265406.5437650243</v>
      </c>
      <c r="AH50" s="264">
        <v>15817069.077129599</v>
      </c>
      <c r="AI50" s="264">
        <v>12096296.400083767</v>
      </c>
      <c r="AJ50" s="264">
        <v>2018371.3362433086</v>
      </c>
      <c r="AK50" s="264">
        <v>246633.04749999999</v>
      </c>
      <c r="AL50" s="264">
        <v>35013209.957514107</v>
      </c>
      <c r="AM50" s="264">
        <v>17233205.03499826</v>
      </c>
      <c r="AN50" s="264">
        <v>79439380.835594893</v>
      </c>
      <c r="AO50" s="264">
        <v>3434436.3074305858</v>
      </c>
      <c r="AP50" s="264"/>
      <c r="AQ50" s="264">
        <v>86552695.137456223</v>
      </c>
      <c r="AR50" s="264">
        <v>22102496.890634943</v>
      </c>
      <c r="AS50" s="264">
        <v>15857137.625034837</v>
      </c>
      <c r="AT50" s="264">
        <v>16398370.109412383</v>
      </c>
      <c r="AU50" s="264">
        <v>93929970.519911081</v>
      </c>
      <c r="AV50" s="264">
        <v>63755392.93983309</v>
      </c>
      <c r="AW50" s="264">
        <v>1158547627.1707654</v>
      </c>
      <c r="AX50" s="264">
        <v>241432667.89550805</v>
      </c>
      <c r="AY50" s="264">
        <v>90952735.582657978</v>
      </c>
      <c r="AZ50" s="264">
        <v>16312717.038720023</v>
      </c>
      <c r="BA50" s="264">
        <v>0</v>
      </c>
      <c r="BB50" s="264">
        <v>3075895.4682487636</v>
      </c>
      <c r="BC50" s="264">
        <v>13989878.136604898</v>
      </c>
      <c r="BD50" s="264">
        <v>4229978.8278301619</v>
      </c>
      <c r="BE50" s="264">
        <v>3527747.2071633311</v>
      </c>
      <c r="BF50" s="264">
        <v>0</v>
      </c>
      <c r="BG50" s="264">
        <v>22976988.858620334</v>
      </c>
      <c r="BH50" s="264">
        <v>7478720.8990000002</v>
      </c>
      <c r="BI50" s="264">
        <v>66884228.057347059</v>
      </c>
      <c r="BJ50" s="264">
        <v>1270710.6670346302</v>
      </c>
      <c r="BK50" s="264">
        <v>26235386.265985314</v>
      </c>
      <c r="BL50" s="264">
        <v>33666717.688076802</v>
      </c>
      <c r="BM50" s="264">
        <v>977017.42477461044</v>
      </c>
      <c r="BN50" s="264">
        <v>268059502.23615873</v>
      </c>
      <c r="BO50" s="264">
        <v>3614793.5183589398</v>
      </c>
      <c r="BP50" s="264">
        <v>153112746.2229118</v>
      </c>
      <c r="BQ50" s="264">
        <v>57373870.962640792</v>
      </c>
      <c r="BR50" s="264">
        <v>4911987.2134293634</v>
      </c>
      <c r="BS50" s="264">
        <v>14718603.801073048</v>
      </c>
      <c r="BT50" s="264">
        <v>3227287.6144623924</v>
      </c>
      <c r="BU50" s="264">
        <v>92797643.63312532</v>
      </c>
      <c r="BV50" s="264">
        <v>27928837.699999999</v>
      </c>
      <c r="BW50" s="264">
        <v>19808578.95310837</v>
      </c>
      <c r="BX50" s="264">
        <v>31505443.852249466</v>
      </c>
      <c r="BY50" s="264">
        <v>75577904.343309224</v>
      </c>
      <c r="BZ50" s="264">
        <v>74050978.049870625</v>
      </c>
      <c r="CA50" s="264">
        <v>10007849.7014529</v>
      </c>
      <c r="CB50" s="264">
        <v>8622218.9814371895</v>
      </c>
      <c r="CC50" s="264"/>
      <c r="CD50" s="264">
        <v>7949768.2802094352</v>
      </c>
      <c r="CE50" s="264">
        <v>2891078.3495752076</v>
      </c>
      <c r="CF50" s="264">
        <v>10618636.010794537</v>
      </c>
      <c r="CG50" s="264">
        <v>6001365.7102174563</v>
      </c>
      <c r="CH50" s="264">
        <v>18332226.129880257</v>
      </c>
      <c r="CI50" s="264">
        <v>0</v>
      </c>
      <c r="CJ50" s="264">
        <v>0</v>
      </c>
      <c r="CK50" s="264">
        <v>583522</v>
      </c>
      <c r="CL50" s="264">
        <v>9379001.4585873764</v>
      </c>
      <c r="CM50" s="264">
        <v>87225570.7928904</v>
      </c>
      <c r="CN50" s="264">
        <v>4593264.2950275652</v>
      </c>
      <c r="CO50" s="264">
        <v>11547637.870375128</v>
      </c>
      <c r="CP50" s="264">
        <v>42659887.682451025</v>
      </c>
      <c r="CQ50" s="264">
        <v>11050691.98686507</v>
      </c>
      <c r="CR50" s="264">
        <v>20323668.79981783</v>
      </c>
      <c r="CS50" s="264">
        <v>17696701.168172412</v>
      </c>
      <c r="CT50" s="264">
        <v>9815536.8247260898</v>
      </c>
      <c r="CU50" s="264">
        <v>4331236.1057222551</v>
      </c>
      <c r="CV50" s="264">
        <v>5464350.9619837226</v>
      </c>
      <c r="CW50" s="264">
        <v>105965993.55191407</v>
      </c>
      <c r="CX50" s="264">
        <v>67137403.098253533</v>
      </c>
      <c r="CY50" s="264">
        <v>10191178.150325641</v>
      </c>
      <c r="CZ50" s="264">
        <v>10868102.01925724</v>
      </c>
      <c r="DA50" s="264">
        <v>969631.88139976026</v>
      </c>
      <c r="DB50" s="264">
        <v>434989.61355423892</v>
      </c>
      <c r="DC50" s="264">
        <v>787445.39060782781</v>
      </c>
      <c r="DD50" s="264">
        <v>222341.04246143124</v>
      </c>
      <c r="DE50" s="264">
        <v>1416131.7877477147</v>
      </c>
      <c r="DF50" s="264">
        <v>2018264.2795819512</v>
      </c>
      <c r="DG50" s="264"/>
      <c r="DH50" s="264">
        <v>23145200.209557645</v>
      </c>
      <c r="DI50" s="264">
        <v>8318479.2229632949</v>
      </c>
      <c r="DJ50" s="264">
        <v>98678310.036165118</v>
      </c>
      <c r="DK50" s="264">
        <v>1402712.2647647155</v>
      </c>
      <c r="DL50" s="264">
        <v>68959663.265957519</v>
      </c>
      <c r="DM50" s="264">
        <v>33142266.569943558</v>
      </c>
      <c r="DN50" s="264">
        <v>8097291.4593327818</v>
      </c>
      <c r="DO50" s="264">
        <v>914762.38073046785</v>
      </c>
      <c r="DP50" s="264">
        <v>2068803.8974813195</v>
      </c>
      <c r="DQ50" s="259">
        <v>668966.88661106513</v>
      </c>
      <c r="DR50" s="259">
        <v>92056824.274444938</v>
      </c>
      <c r="DS50" s="259">
        <v>11816443.794769363</v>
      </c>
      <c r="DT50" s="259">
        <v>620858.40873604408</v>
      </c>
      <c r="DU50" s="259">
        <v>23201398.795663085</v>
      </c>
      <c r="DV50" s="259">
        <v>24338787.384704694</v>
      </c>
      <c r="DW50" s="259">
        <v>33119492.061645631</v>
      </c>
      <c r="DX50" s="259">
        <v>79246224.333706468</v>
      </c>
      <c r="DY50" s="259">
        <v>91779552.04164733</v>
      </c>
      <c r="DZ50" s="259">
        <v>45023943.385343626</v>
      </c>
      <c r="EA50" s="259">
        <v>500000000</v>
      </c>
      <c r="EB50" s="259">
        <v>73654987.464285731</v>
      </c>
      <c r="EC50" s="259">
        <v>157347456</v>
      </c>
      <c r="ED50" s="259">
        <v>5604037518.9941339</v>
      </c>
      <c r="EE50" s="259">
        <v>-62354505.363672256</v>
      </c>
      <c r="EF50" s="259">
        <v>6335039962.4584198</v>
      </c>
      <c r="EG50" s="259"/>
      <c r="EH50" s="259"/>
    </row>
    <row r="51" spans="1:139" x14ac:dyDescent="0.3">
      <c r="B51" s="435" t="s">
        <v>3514</v>
      </c>
      <c r="C51" s="252">
        <v>0</v>
      </c>
      <c r="D51" s="252">
        <v>0</v>
      </c>
      <c r="E51" s="252">
        <v>0</v>
      </c>
      <c r="F51" s="252">
        <v>0</v>
      </c>
      <c r="G51" s="252">
        <v>0</v>
      </c>
      <c r="H51" s="252">
        <v>0</v>
      </c>
      <c r="I51" s="252">
        <v>0</v>
      </c>
      <c r="J51" s="252">
        <v>0</v>
      </c>
      <c r="K51" s="252">
        <v>0</v>
      </c>
      <c r="L51" s="252">
        <v>0</v>
      </c>
      <c r="M51" s="252">
        <v>0</v>
      </c>
      <c r="N51" s="252">
        <v>0</v>
      </c>
      <c r="O51" s="252">
        <v>0</v>
      </c>
      <c r="P51" s="252">
        <v>0</v>
      </c>
      <c r="Q51" s="252">
        <v>0</v>
      </c>
      <c r="R51" s="252">
        <v>0</v>
      </c>
      <c r="S51" s="252">
        <v>0</v>
      </c>
      <c r="T51" s="252">
        <v>0</v>
      </c>
      <c r="U51" s="252">
        <v>0</v>
      </c>
      <c r="V51" s="252">
        <v>0</v>
      </c>
      <c r="W51" s="252">
        <v>0</v>
      </c>
      <c r="X51" s="252">
        <v>195120494.77671224</v>
      </c>
      <c r="Y51" s="252">
        <v>1417599.1391825783</v>
      </c>
      <c r="Z51" s="252">
        <v>2178947.2907439843</v>
      </c>
      <c r="AA51" s="252">
        <v>6152259.3774690703</v>
      </c>
      <c r="AB51" s="252">
        <v>4861732.0615136437</v>
      </c>
      <c r="AC51" s="252">
        <v>780067.03108897386</v>
      </c>
      <c r="AD51" s="252">
        <v>0</v>
      </c>
      <c r="AE51" s="252">
        <v>0</v>
      </c>
      <c r="AF51" s="252">
        <v>0</v>
      </c>
      <c r="AG51" s="252">
        <v>0</v>
      </c>
      <c r="AH51" s="252">
        <v>0</v>
      </c>
      <c r="AI51" s="252">
        <v>0</v>
      </c>
      <c r="AJ51" s="252">
        <v>0</v>
      </c>
      <c r="AK51" s="252">
        <v>0</v>
      </c>
      <c r="AL51" s="252">
        <v>0</v>
      </c>
      <c r="AM51" s="252">
        <v>0</v>
      </c>
      <c r="AN51" s="252">
        <v>0</v>
      </c>
      <c r="AO51" s="252">
        <v>0</v>
      </c>
      <c r="AP51" s="252">
        <v>0</v>
      </c>
      <c r="AQ51" s="252">
        <v>0</v>
      </c>
      <c r="AR51" s="252">
        <v>0</v>
      </c>
      <c r="AS51" s="252">
        <v>0</v>
      </c>
      <c r="AT51" s="252">
        <v>0</v>
      </c>
      <c r="AU51" s="252">
        <v>0</v>
      </c>
      <c r="AV51" s="252">
        <v>0</v>
      </c>
      <c r="AW51" s="252">
        <v>0</v>
      </c>
      <c r="AX51" s="252">
        <v>0</v>
      </c>
      <c r="AY51" s="252">
        <v>0</v>
      </c>
      <c r="AZ51" s="252">
        <v>0</v>
      </c>
      <c r="BA51" s="252">
        <v>0</v>
      </c>
      <c r="BB51" s="252">
        <v>0</v>
      </c>
      <c r="BC51" s="252">
        <v>0</v>
      </c>
      <c r="BD51" s="252">
        <v>0</v>
      </c>
      <c r="BE51" s="252">
        <v>0</v>
      </c>
      <c r="BF51" s="252">
        <v>0</v>
      </c>
      <c r="BG51" s="252">
        <v>0</v>
      </c>
      <c r="BH51" s="252">
        <v>0</v>
      </c>
      <c r="BI51" s="252">
        <v>0</v>
      </c>
      <c r="BJ51" s="252">
        <v>0</v>
      </c>
      <c r="BK51" s="252">
        <v>0</v>
      </c>
      <c r="BL51" s="252">
        <v>0</v>
      </c>
      <c r="BM51" s="252">
        <v>0</v>
      </c>
      <c r="BN51" s="252">
        <v>0</v>
      </c>
      <c r="BO51" s="252">
        <v>0</v>
      </c>
      <c r="BP51" s="252">
        <v>0</v>
      </c>
      <c r="BQ51" s="252">
        <v>0</v>
      </c>
      <c r="BR51" s="252">
        <v>0</v>
      </c>
      <c r="BS51" s="252">
        <v>0</v>
      </c>
      <c r="BT51" s="252">
        <v>0</v>
      </c>
      <c r="BU51" s="252">
        <v>0</v>
      </c>
      <c r="BV51" s="252">
        <v>0</v>
      </c>
      <c r="BW51" s="252">
        <v>0</v>
      </c>
      <c r="BX51" s="252">
        <v>0</v>
      </c>
      <c r="BY51" s="252">
        <v>0</v>
      </c>
      <c r="BZ51" s="252">
        <v>0</v>
      </c>
      <c r="CA51" s="252">
        <v>0</v>
      </c>
      <c r="CB51" s="252">
        <v>0</v>
      </c>
      <c r="CC51" s="252">
        <v>0</v>
      </c>
      <c r="CD51" s="252">
        <v>0</v>
      </c>
      <c r="CE51" s="252">
        <v>0</v>
      </c>
      <c r="CF51" s="252">
        <v>0</v>
      </c>
      <c r="CG51" s="252">
        <v>0</v>
      </c>
      <c r="CH51" s="252">
        <v>0</v>
      </c>
      <c r="CI51" s="252">
        <v>0</v>
      </c>
      <c r="CJ51" s="252">
        <v>0</v>
      </c>
      <c r="CK51" s="252">
        <v>0</v>
      </c>
      <c r="CL51" s="252">
        <v>0</v>
      </c>
      <c r="CM51" s="252">
        <v>0</v>
      </c>
      <c r="CN51" s="252">
        <v>0</v>
      </c>
      <c r="CO51" s="252">
        <v>0</v>
      </c>
      <c r="CP51" s="252">
        <v>0</v>
      </c>
      <c r="CQ51" s="252">
        <v>0</v>
      </c>
      <c r="CR51" s="252">
        <v>0</v>
      </c>
      <c r="CS51" s="252">
        <v>0</v>
      </c>
      <c r="CT51" s="252">
        <v>0</v>
      </c>
      <c r="CU51" s="252">
        <v>0</v>
      </c>
      <c r="CV51" s="252">
        <v>0</v>
      </c>
      <c r="CW51" s="252">
        <v>0</v>
      </c>
      <c r="CX51" s="252">
        <v>0</v>
      </c>
      <c r="CY51" s="252">
        <v>0</v>
      </c>
      <c r="CZ51" s="252">
        <v>0</v>
      </c>
      <c r="DA51" s="252">
        <v>0</v>
      </c>
      <c r="DB51" s="252">
        <v>0</v>
      </c>
      <c r="DC51" s="252">
        <v>0</v>
      </c>
      <c r="DD51" s="252">
        <v>0</v>
      </c>
      <c r="DE51" s="252">
        <v>0</v>
      </c>
      <c r="DF51" s="252">
        <v>0</v>
      </c>
      <c r="DG51" s="252">
        <v>0</v>
      </c>
      <c r="DH51" s="252">
        <v>0</v>
      </c>
      <c r="DI51" s="252">
        <v>0</v>
      </c>
      <c r="DJ51" s="252">
        <v>0</v>
      </c>
      <c r="DK51" s="252">
        <v>0</v>
      </c>
      <c r="DL51" s="252">
        <v>0</v>
      </c>
      <c r="DM51" s="252">
        <v>0</v>
      </c>
      <c r="DN51" s="252">
        <v>0</v>
      </c>
      <c r="DO51" s="252">
        <v>0</v>
      </c>
      <c r="DP51" s="252">
        <v>0</v>
      </c>
      <c r="DQ51" s="252">
        <v>0</v>
      </c>
      <c r="DR51" s="252">
        <v>0</v>
      </c>
      <c r="DS51" s="252">
        <v>0</v>
      </c>
      <c r="DT51" s="252">
        <v>0</v>
      </c>
      <c r="DU51" s="252">
        <v>0</v>
      </c>
      <c r="DV51" s="252">
        <v>0</v>
      </c>
      <c r="DW51" s="252">
        <v>0</v>
      </c>
      <c r="DX51" s="252">
        <v>0</v>
      </c>
      <c r="DY51" s="252">
        <v>0</v>
      </c>
      <c r="DZ51" s="252">
        <v>0</v>
      </c>
      <c r="ED51" s="252">
        <v>210511099.67671046</v>
      </c>
    </row>
    <row r="52" spans="1:139" x14ac:dyDescent="0.3">
      <c r="B52" s="435" t="s">
        <v>3515</v>
      </c>
      <c r="C52" s="252">
        <v>0</v>
      </c>
      <c r="D52" s="252">
        <v>0</v>
      </c>
      <c r="E52" s="252">
        <v>0</v>
      </c>
      <c r="F52" s="252">
        <v>0</v>
      </c>
      <c r="G52" s="252">
        <v>0</v>
      </c>
      <c r="H52" s="252">
        <v>0</v>
      </c>
      <c r="I52" s="252">
        <v>0</v>
      </c>
      <c r="J52" s="252">
        <v>0</v>
      </c>
      <c r="K52" s="252">
        <v>0</v>
      </c>
      <c r="L52" s="252">
        <v>0</v>
      </c>
      <c r="M52" s="252">
        <v>0</v>
      </c>
      <c r="N52" s="252">
        <v>0</v>
      </c>
      <c r="O52" s="252">
        <v>0</v>
      </c>
      <c r="P52" s="252">
        <v>0</v>
      </c>
      <c r="Q52" s="252">
        <v>0</v>
      </c>
      <c r="R52" s="252">
        <v>0</v>
      </c>
      <c r="S52" s="252">
        <v>0</v>
      </c>
      <c r="T52" s="252">
        <v>0</v>
      </c>
      <c r="U52" s="252">
        <v>2244858</v>
      </c>
      <c r="V52" s="252">
        <v>0</v>
      </c>
      <c r="W52" s="252">
        <v>1282775.9999999998</v>
      </c>
      <c r="X52" s="252">
        <v>0</v>
      </c>
      <c r="Y52" s="252">
        <v>0</v>
      </c>
      <c r="Z52" s="252">
        <v>0</v>
      </c>
      <c r="AA52" s="252">
        <v>0</v>
      </c>
      <c r="AB52" s="252">
        <v>0</v>
      </c>
      <c r="AC52" s="252">
        <v>0</v>
      </c>
      <c r="AD52" s="252">
        <v>0</v>
      </c>
      <c r="AE52" s="252">
        <v>0</v>
      </c>
      <c r="AF52" s="252">
        <v>0</v>
      </c>
      <c r="AG52" s="252">
        <v>0</v>
      </c>
      <c r="AH52" s="252">
        <v>0</v>
      </c>
      <c r="AI52" s="252">
        <v>0</v>
      </c>
      <c r="AJ52" s="252">
        <v>0</v>
      </c>
      <c r="AK52" s="252">
        <v>0</v>
      </c>
      <c r="AL52" s="252">
        <v>783089.99999999988</v>
      </c>
      <c r="AM52" s="252">
        <v>159103.99999999997</v>
      </c>
      <c r="AN52" s="252">
        <v>1133971.588896014</v>
      </c>
      <c r="AO52" s="252">
        <v>0</v>
      </c>
      <c r="AP52" s="252">
        <v>0</v>
      </c>
      <c r="AQ52" s="252">
        <v>0</v>
      </c>
      <c r="AR52" s="252">
        <v>32317.999999999996</v>
      </c>
      <c r="AS52" s="252">
        <v>0</v>
      </c>
      <c r="AT52" s="252">
        <v>0</v>
      </c>
      <c r="AU52" s="252">
        <v>0</v>
      </c>
      <c r="AV52" s="252">
        <v>620475.02033932845</v>
      </c>
      <c r="AW52" s="252">
        <v>0</v>
      </c>
      <c r="AX52" s="252">
        <v>0</v>
      </c>
      <c r="AY52" s="252">
        <v>0</v>
      </c>
      <c r="AZ52" s="252">
        <v>0</v>
      </c>
      <c r="BA52" s="252">
        <v>0</v>
      </c>
      <c r="BB52" s="252">
        <v>0</v>
      </c>
      <c r="BC52" s="252">
        <v>0</v>
      </c>
      <c r="BD52" s="252">
        <v>0</v>
      </c>
      <c r="BE52" s="252">
        <v>0</v>
      </c>
      <c r="BF52" s="252">
        <v>0</v>
      </c>
      <c r="BG52" s="252">
        <v>0</v>
      </c>
      <c r="BH52" s="252">
        <v>0</v>
      </c>
      <c r="BI52" s="252">
        <v>0</v>
      </c>
      <c r="BJ52" s="252">
        <v>0</v>
      </c>
      <c r="BK52" s="252">
        <v>0</v>
      </c>
      <c r="BL52" s="252">
        <v>620475.02033932845</v>
      </c>
      <c r="BM52" s="252">
        <v>0</v>
      </c>
      <c r="BN52" s="252">
        <v>144760.27965654532</v>
      </c>
      <c r="BO52" s="252">
        <v>1913.7203434546939</v>
      </c>
      <c r="BP52" s="252">
        <v>0</v>
      </c>
      <c r="BQ52" s="252">
        <v>0</v>
      </c>
      <c r="BR52" s="252">
        <v>0</v>
      </c>
      <c r="BS52" s="252">
        <v>0</v>
      </c>
      <c r="BT52" s="252">
        <v>0</v>
      </c>
      <c r="BU52" s="252">
        <v>1116855.036610791</v>
      </c>
      <c r="BV52" s="252">
        <v>667599.02033932845</v>
      </c>
      <c r="BW52" s="252">
        <v>29106</v>
      </c>
      <c r="BX52" s="252">
        <v>0</v>
      </c>
      <c r="BY52" s="252">
        <v>0</v>
      </c>
      <c r="BZ52" s="252">
        <v>0</v>
      </c>
      <c r="CA52" s="252">
        <v>0</v>
      </c>
      <c r="CB52" s="252">
        <v>0</v>
      </c>
      <c r="CC52" s="252">
        <v>0</v>
      </c>
      <c r="CD52" s="252">
        <v>853829</v>
      </c>
      <c r="CE52" s="252">
        <v>0</v>
      </c>
      <c r="CF52" s="252">
        <v>0</v>
      </c>
      <c r="CG52" s="252">
        <v>0</v>
      </c>
      <c r="CH52" s="252">
        <v>0</v>
      </c>
      <c r="CI52" s="252">
        <v>0</v>
      </c>
      <c r="CJ52" s="252">
        <v>0</v>
      </c>
      <c r="CK52" s="252">
        <v>0</v>
      </c>
      <c r="CL52" s="252">
        <v>0</v>
      </c>
      <c r="CM52" s="252">
        <v>0</v>
      </c>
      <c r="CN52" s="252">
        <v>0</v>
      </c>
      <c r="CO52" s="252">
        <v>0</v>
      </c>
      <c r="CP52" s="252">
        <v>0</v>
      </c>
      <c r="CQ52" s="252">
        <v>0</v>
      </c>
      <c r="CR52" s="252">
        <v>0</v>
      </c>
      <c r="CS52" s="252">
        <v>0</v>
      </c>
      <c r="CT52" s="252">
        <v>0</v>
      </c>
      <c r="CU52" s="252">
        <v>0</v>
      </c>
      <c r="CV52" s="252">
        <v>0</v>
      </c>
      <c r="CW52" s="252">
        <v>0</v>
      </c>
      <c r="CX52" s="252">
        <v>908632.99999999988</v>
      </c>
      <c r="CY52" s="252">
        <v>0</v>
      </c>
      <c r="CZ52" s="252">
        <v>0</v>
      </c>
      <c r="DA52" s="252">
        <v>0</v>
      </c>
      <c r="DB52" s="252">
        <v>0</v>
      </c>
      <c r="DC52" s="252">
        <v>0</v>
      </c>
      <c r="DD52" s="252">
        <v>0</v>
      </c>
      <c r="DE52" s="252">
        <v>0</v>
      </c>
      <c r="DF52" s="252">
        <v>0</v>
      </c>
      <c r="DG52" s="252">
        <v>0</v>
      </c>
      <c r="DH52" s="252">
        <v>0</v>
      </c>
      <c r="DI52" s="252">
        <v>0</v>
      </c>
      <c r="DJ52" s="252">
        <v>0</v>
      </c>
      <c r="DK52" s="252">
        <v>0</v>
      </c>
      <c r="DL52" s="252">
        <v>0</v>
      </c>
      <c r="DM52" s="252">
        <v>0</v>
      </c>
      <c r="DN52" s="252">
        <v>0</v>
      </c>
      <c r="DO52" s="252">
        <v>0</v>
      </c>
      <c r="DP52" s="252">
        <v>0</v>
      </c>
      <c r="DQ52" s="252">
        <v>0</v>
      </c>
      <c r="DR52" s="252">
        <v>0</v>
      </c>
      <c r="DS52" s="252">
        <v>0</v>
      </c>
      <c r="DT52" s="252">
        <v>0</v>
      </c>
      <c r="DU52" s="252">
        <v>1516459.9999999998</v>
      </c>
      <c r="DV52" s="252">
        <v>0</v>
      </c>
      <c r="DW52" s="252">
        <v>0</v>
      </c>
      <c r="DX52" s="252">
        <v>0</v>
      </c>
      <c r="DY52" s="252">
        <v>0</v>
      </c>
      <c r="DZ52" s="252">
        <v>0</v>
      </c>
      <c r="EA52" s="252">
        <v>0</v>
      </c>
      <c r="EB52" s="252">
        <v>0</v>
      </c>
      <c r="EC52" s="252">
        <v>0</v>
      </c>
      <c r="ED52" s="252">
        <v>12116223.686524792</v>
      </c>
      <c r="EF52" s="252">
        <v>12116223.686524792</v>
      </c>
    </row>
    <row r="53" spans="1:139" x14ac:dyDescent="0.3">
      <c r="B53" s="435" t="s">
        <v>3516</v>
      </c>
      <c r="C53" s="252">
        <v>0</v>
      </c>
      <c r="D53" s="252">
        <v>0</v>
      </c>
      <c r="E53" s="252">
        <v>0</v>
      </c>
      <c r="F53" s="252">
        <v>0</v>
      </c>
      <c r="G53" s="252">
        <v>0</v>
      </c>
      <c r="H53" s="252">
        <v>0</v>
      </c>
      <c r="I53" s="252">
        <v>0</v>
      </c>
      <c r="J53" s="252">
        <v>0</v>
      </c>
      <c r="K53" s="252">
        <v>0</v>
      </c>
      <c r="L53" s="252">
        <v>0</v>
      </c>
      <c r="M53" s="252">
        <v>720939.99999999988</v>
      </c>
      <c r="N53" s="252">
        <v>0</v>
      </c>
      <c r="O53" s="252">
        <v>0</v>
      </c>
      <c r="P53" s="252">
        <v>0</v>
      </c>
      <c r="Q53" s="252">
        <v>832809.99999999988</v>
      </c>
      <c r="R53" s="252">
        <v>0</v>
      </c>
      <c r="S53" s="252">
        <v>0</v>
      </c>
      <c r="T53" s="252">
        <v>894959.99999999988</v>
      </c>
      <c r="U53" s="252">
        <v>0</v>
      </c>
      <c r="V53" s="252">
        <v>0</v>
      </c>
      <c r="W53" s="252">
        <v>0</v>
      </c>
      <c r="X53" s="252">
        <v>1501543.9999999998</v>
      </c>
      <c r="Y53" s="252">
        <v>0</v>
      </c>
      <c r="Z53" s="252">
        <v>0</v>
      </c>
      <c r="AA53" s="252">
        <v>0</v>
      </c>
      <c r="AB53" s="252">
        <v>0</v>
      </c>
      <c r="AC53" s="252">
        <v>0</v>
      </c>
      <c r="AD53" s="252">
        <v>0</v>
      </c>
      <c r="AE53" s="252">
        <v>0</v>
      </c>
      <c r="AF53" s="252">
        <v>0</v>
      </c>
      <c r="AG53" s="252">
        <v>0</v>
      </c>
      <c r="AH53" s="252">
        <v>0</v>
      </c>
      <c r="AI53" s="252">
        <v>0</v>
      </c>
      <c r="AJ53" s="252">
        <v>0</v>
      </c>
      <c r="AK53" s="252">
        <v>0</v>
      </c>
      <c r="AL53" s="252">
        <v>0</v>
      </c>
      <c r="AM53" s="252">
        <v>0</v>
      </c>
      <c r="AN53" s="252">
        <v>0</v>
      </c>
      <c r="AO53" s="252">
        <v>0</v>
      </c>
      <c r="AP53" s="252">
        <v>0</v>
      </c>
      <c r="AQ53" s="252">
        <v>0</v>
      </c>
      <c r="AR53" s="252">
        <v>0</v>
      </c>
      <c r="AS53" s="252">
        <v>0</v>
      </c>
      <c r="AT53" s="252">
        <v>0</v>
      </c>
      <c r="AU53" s="252">
        <v>1802349.9999999998</v>
      </c>
      <c r="AV53" s="252">
        <v>832809.99999999988</v>
      </c>
      <c r="AW53" s="252">
        <v>1702909.9999999998</v>
      </c>
      <c r="AX53" s="252">
        <v>0</v>
      </c>
      <c r="AY53" s="252">
        <v>0</v>
      </c>
      <c r="AZ53" s="252">
        <v>0</v>
      </c>
      <c r="BA53" s="252">
        <v>0</v>
      </c>
      <c r="BB53" s="252">
        <v>0</v>
      </c>
      <c r="BC53" s="252">
        <v>0</v>
      </c>
      <c r="BD53" s="252">
        <v>0</v>
      </c>
      <c r="BE53" s="252">
        <v>0</v>
      </c>
      <c r="BF53" s="252">
        <v>0</v>
      </c>
      <c r="BG53" s="252">
        <v>0</v>
      </c>
      <c r="BH53" s="252">
        <v>0</v>
      </c>
      <c r="BI53" s="252">
        <v>0</v>
      </c>
      <c r="BJ53" s="252">
        <v>0</v>
      </c>
      <c r="BK53" s="252">
        <v>0</v>
      </c>
      <c r="BL53" s="252">
        <v>769416.99999999988</v>
      </c>
      <c r="BM53" s="252">
        <v>0</v>
      </c>
      <c r="BN53" s="252">
        <v>825351.99999999988</v>
      </c>
      <c r="BO53" s="252">
        <v>0</v>
      </c>
      <c r="BP53" s="252">
        <v>0</v>
      </c>
      <c r="BQ53" s="252">
        <v>461153</v>
      </c>
      <c r="BR53" s="252">
        <v>0</v>
      </c>
      <c r="BS53" s="252">
        <v>0</v>
      </c>
      <c r="BT53" s="252">
        <v>0</v>
      </c>
      <c r="BU53" s="252">
        <v>807949.99999999988</v>
      </c>
      <c r="BV53" s="252">
        <v>484769.99999999994</v>
      </c>
      <c r="BW53" s="252">
        <v>745799.99999999988</v>
      </c>
      <c r="BX53" s="252">
        <v>907389.99999999988</v>
      </c>
      <c r="BY53" s="252">
        <v>408946.99999999994</v>
      </c>
      <c r="BZ53" s="252">
        <v>0</v>
      </c>
      <c r="CA53" s="252">
        <v>0</v>
      </c>
      <c r="CB53" s="252">
        <v>0</v>
      </c>
      <c r="CC53" s="252">
        <v>0</v>
      </c>
      <c r="CD53" s="252">
        <v>489741.99999999994</v>
      </c>
      <c r="CE53" s="252">
        <v>0</v>
      </c>
      <c r="CF53" s="252">
        <v>0</v>
      </c>
      <c r="CG53" s="252">
        <v>0</v>
      </c>
      <c r="CH53" s="252">
        <v>0</v>
      </c>
      <c r="CI53" s="252">
        <v>0</v>
      </c>
      <c r="CJ53" s="252">
        <v>0</v>
      </c>
      <c r="CK53" s="252">
        <v>0</v>
      </c>
      <c r="CL53" s="252">
        <v>0</v>
      </c>
      <c r="CM53" s="252">
        <v>1280289.9999999998</v>
      </c>
      <c r="CN53" s="252">
        <v>0</v>
      </c>
      <c r="CO53" s="252">
        <v>0</v>
      </c>
      <c r="CP53" s="252">
        <v>770659.99999999988</v>
      </c>
      <c r="CQ53" s="252">
        <v>0</v>
      </c>
      <c r="CR53" s="252">
        <v>0</v>
      </c>
      <c r="CS53" s="252">
        <v>0</v>
      </c>
      <c r="CT53" s="252">
        <v>0</v>
      </c>
      <c r="CU53" s="252">
        <v>0</v>
      </c>
      <c r="CV53" s="252">
        <v>0</v>
      </c>
      <c r="CW53" s="252">
        <v>1081409.9999999998</v>
      </c>
      <c r="CX53" s="252">
        <v>0</v>
      </c>
      <c r="CY53" s="252">
        <v>0</v>
      </c>
      <c r="CZ53" s="252">
        <v>0</v>
      </c>
      <c r="DA53" s="252">
        <v>0</v>
      </c>
      <c r="DB53" s="252">
        <v>0</v>
      </c>
      <c r="DC53" s="252">
        <v>0</v>
      </c>
      <c r="DD53" s="252">
        <v>0</v>
      </c>
      <c r="DE53" s="252">
        <v>0</v>
      </c>
      <c r="DF53" s="252">
        <v>0</v>
      </c>
      <c r="DG53" s="252">
        <v>0</v>
      </c>
      <c r="DH53" s="252">
        <v>0</v>
      </c>
      <c r="DI53" s="252">
        <v>0</v>
      </c>
      <c r="DJ53" s="252">
        <v>1367299.9999999998</v>
      </c>
      <c r="DK53" s="252">
        <v>0</v>
      </c>
      <c r="DL53" s="252">
        <v>0</v>
      </c>
      <c r="DM53" s="252">
        <v>0</v>
      </c>
      <c r="DN53" s="252">
        <v>0</v>
      </c>
      <c r="DO53" s="252">
        <v>0</v>
      </c>
      <c r="DP53" s="252">
        <v>0</v>
      </c>
      <c r="DQ53" s="252">
        <v>0</v>
      </c>
      <c r="DR53" s="252">
        <v>0</v>
      </c>
      <c r="DS53" s="252">
        <v>0</v>
      </c>
      <c r="DT53" s="252">
        <v>0</v>
      </c>
      <c r="DU53" s="252">
        <v>0</v>
      </c>
      <c r="DV53" s="252">
        <v>0</v>
      </c>
      <c r="DW53" s="252">
        <v>0</v>
      </c>
      <c r="DX53" s="252">
        <v>0</v>
      </c>
      <c r="DY53" s="252">
        <v>0</v>
      </c>
      <c r="DZ53" s="252">
        <v>0</v>
      </c>
      <c r="ED53" s="252">
        <v>18688504.999999996</v>
      </c>
      <c r="EF53" s="252">
        <v>18688504.999999996</v>
      </c>
    </row>
    <row r="54" spans="1:139" x14ac:dyDescent="0.3">
      <c r="A54" s="435" t="s">
        <v>3120</v>
      </c>
      <c r="B54" s="435" t="s">
        <v>3517</v>
      </c>
      <c r="C54" s="252">
        <v>8161110.2821897101</v>
      </c>
      <c r="D54" s="252">
        <v>86562213.604253531</v>
      </c>
      <c r="E54" s="252">
        <v>6867180.1702625966</v>
      </c>
      <c r="F54" s="252">
        <v>2710095.5162190432</v>
      </c>
      <c r="G54" s="252">
        <v>55669709.653683931</v>
      </c>
      <c r="H54" s="252">
        <v>26013817.178115316</v>
      </c>
      <c r="I54" s="252">
        <v>266124.96280184441</v>
      </c>
      <c r="J54" s="252">
        <v>958807.63020025496</v>
      </c>
      <c r="K54" s="252">
        <v>1584212.5914881283</v>
      </c>
      <c r="L54" s="252">
        <v>7324541.0237479117</v>
      </c>
      <c r="M54" s="252">
        <v>182549521.27860856</v>
      </c>
      <c r="N54" s="252">
        <v>10127126.245440818</v>
      </c>
      <c r="O54" s="252">
        <v>497063.85655245947</v>
      </c>
      <c r="P54" s="252">
        <v>1849921.2559366494</v>
      </c>
      <c r="Q54" s="252">
        <v>88278249.22284393</v>
      </c>
      <c r="R54" s="252">
        <v>18411677.674934596</v>
      </c>
      <c r="S54" s="252">
        <v>4987179.5838926174</v>
      </c>
      <c r="T54" s="252">
        <v>42376295.418656349</v>
      </c>
      <c r="U54" s="252">
        <v>38523360.559195116</v>
      </c>
      <c r="V54" s="252">
        <v>23279655.286475241</v>
      </c>
      <c r="W54" s="252">
        <v>17270945.093285099</v>
      </c>
      <c r="X54" s="252">
        <v>297746379.75287366</v>
      </c>
      <c r="Y54" s="252">
        <v>2140554.0814729822</v>
      </c>
      <c r="Z54" s="252">
        <v>2854531.3697590921</v>
      </c>
      <c r="AA54" s="252">
        <v>8452600.8427885994</v>
      </c>
      <c r="AB54" s="252">
        <v>0</v>
      </c>
      <c r="AC54" s="252">
        <v>1196793.2093019499</v>
      </c>
      <c r="AD54" s="252">
        <v>3646909.0612001675</v>
      </c>
      <c r="AE54" s="252">
        <v>529959799.93398792</v>
      </c>
      <c r="AF54" s="252">
        <v>3180313.0029304181</v>
      </c>
      <c r="AG54" s="252">
        <v>5265406.5437650243</v>
      </c>
      <c r="AH54" s="252">
        <v>15817069.077129599</v>
      </c>
      <c r="AI54" s="252">
        <v>12096296.400083767</v>
      </c>
      <c r="AJ54" s="252">
        <v>2018371.3362433086</v>
      </c>
      <c r="AK54" s="252">
        <v>246633.04749999999</v>
      </c>
      <c r="AL54" s="252">
        <v>34230119.957514107</v>
      </c>
      <c r="AM54" s="252">
        <v>17074101.03499826</v>
      </c>
      <c r="AN54" s="252">
        <v>78305409.246698871</v>
      </c>
      <c r="AO54" s="252">
        <v>3434436.3074305858</v>
      </c>
      <c r="AP54" s="252">
        <v>0</v>
      </c>
      <c r="AQ54" s="252">
        <v>86552695.137456223</v>
      </c>
      <c r="AR54" s="252">
        <v>22070178.890634943</v>
      </c>
      <c r="AS54" s="252">
        <v>15857137.625034837</v>
      </c>
      <c r="AT54" s="252">
        <v>16398370.109412383</v>
      </c>
      <c r="AU54" s="252">
        <v>92127620.519911081</v>
      </c>
      <c r="AV54" s="252">
        <v>62302107.919493765</v>
      </c>
      <c r="AW54" s="252">
        <v>1156844717.1707654</v>
      </c>
      <c r="AX54" s="252">
        <v>241432667.89550805</v>
      </c>
      <c r="AY54" s="252">
        <v>90952735.582657978</v>
      </c>
      <c r="AZ54" s="252">
        <v>16312717.038720023</v>
      </c>
      <c r="BA54" s="252">
        <v>0</v>
      </c>
      <c r="BB54" s="252">
        <v>3075895.4682487636</v>
      </c>
      <c r="BC54" s="252">
        <v>13989878.136604898</v>
      </c>
      <c r="BD54" s="252">
        <v>4229978.8278301619</v>
      </c>
      <c r="BE54" s="252">
        <v>3527747.2071633311</v>
      </c>
      <c r="BF54" s="252">
        <v>0</v>
      </c>
      <c r="BG54" s="252">
        <v>22976988.858620334</v>
      </c>
      <c r="BH54" s="252">
        <v>7478720.8990000002</v>
      </c>
      <c r="BI54" s="252">
        <v>66884228.057347059</v>
      </c>
      <c r="BJ54" s="252">
        <v>1270710.6670346302</v>
      </c>
      <c r="BK54" s="252">
        <v>26235386.265985314</v>
      </c>
      <c r="BL54" s="252">
        <v>32276825.667737473</v>
      </c>
      <c r="BM54" s="252">
        <v>977017.42477461044</v>
      </c>
      <c r="BN54" s="252">
        <v>267089389.95650217</v>
      </c>
      <c r="BO54" s="252">
        <v>3612879.7980154851</v>
      </c>
      <c r="BP54" s="252">
        <v>153112746.2229118</v>
      </c>
      <c r="BQ54" s="252">
        <v>56912717.962640792</v>
      </c>
      <c r="BR54" s="252">
        <v>4911987.2134293634</v>
      </c>
      <c r="BS54" s="252">
        <v>14718603.801073048</v>
      </c>
      <c r="BT54" s="252">
        <v>3227287.6144623924</v>
      </c>
      <c r="BU54" s="252">
        <v>90872838.596514523</v>
      </c>
      <c r="BV54" s="252">
        <v>26776468.67966067</v>
      </c>
      <c r="BW54" s="252">
        <v>19033672.95310837</v>
      </c>
      <c r="BX54" s="252">
        <v>30598053.852249466</v>
      </c>
      <c r="BY54" s="252">
        <v>75168957.343309224</v>
      </c>
      <c r="BZ54" s="252">
        <v>74050978.049870625</v>
      </c>
      <c r="CA54" s="252">
        <v>10007849.7014529</v>
      </c>
      <c r="CB54" s="252">
        <v>8622218.9814371895</v>
      </c>
      <c r="CC54" s="252">
        <v>0</v>
      </c>
      <c r="CD54" s="252">
        <v>6606197.2802094352</v>
      </c>
      <c r="CE54" s="252">
        <v>2891078.3495752076</v>
      </c>
      <c r="CF54" s="252">
        <v>10618636.010794537</v>
      </c>
      <c r="CG54" s="252">
        <v>6001365.7102174563</v>
      </c>
      <c r="CH54" s="252">
        <v>18332226.129880257</v>
      </c>
      <c r="CI54" s="252">
        <v>0</v>
      </c>
      <c r="CJ54" s="252">
        <v>0</v>
      </c>
      <c r="CK54" s="252">
        <v>583522</v>
      </c>
      <c r="CL54" s="252">
        <v>9379001.4585873764</v>
      </c>
      <c r="CM54" s="252">
        <v>85945280.7928904</v>
      </c>
      <c r="CN54" s="252">
        <v>4593264.2950275652</v>
      </c>
      <c r="CO54" s="252">
        <v>11547637.870375128</v>
      </c>
      <c r="CP54" s="252">
        <v>41889227.682451025</v>
      </c>
      <c r="CQ54" s="252">
        <v>11050691.98686507</v>
      </c>
      <c r="CR54" s="252">
        <v>20323668.79981783</v>
      </c>
      <c r="CS54" s="252">
        <v>17696701.168172412</v>
      </c>
      <c r="CT54" s="252">
        <v>9815536.8247260898</v>
      </c>
      <c r="CU54" s="252">
        <v>4331236.1057222551</v>
      </c>
      <c r="CV54" s="252">
        <v>5464350.9619837226</v>
      </c>
      <c r="CW54" s="252">
        <v>104884583.55191407</v>
      </c>
      <c r="CX54" s="252">
        <v>66228770.098253533</v>
      </c>
      <c r="CY54" s="252">
        <v>10191178.150325641</v>
      </c>
      <c r="CZ54" s="252">
        <v>10868102.01925724</v>
      </c>
      <c r="DA54" s="252">
        <v>969631.88139976026</v>
      </c>
      <c r="DB54" s="252">
        <v>434989.61355423892</v>
      </c>
      <c r="DC54" s="252">
        <v>787445.39060782781</v>
      </c>
      <c r="DD54" s="252">
        <v>222341.04246143124</v>
      </c>
      <c r="DE54" s="252">
        <v>1416131.7877477147</v>
      </c>
      <c r="DF54" s="252">
        <v>2018264.2795819512</v>
      </c>
      <c r="DG54" s="252">
        <v>0</v>
      </c>
      <c r="DH54" s="252">
        <v>23145200.209557645</v>
      </c>
      <c r="DI54" s="252">
        <v>8318479.2229632949</v>
      </c>
      <c r="DJ54" s="252">
        <v>97311010.036165118</v>
      </c>
      <c r="DK54" s="252">
        <v>1402712.2647647155</v>
      </c>
      <c r="DL54" s="252">
        <v>68959663.265957519</v>
      </c>
      <c r="DM54" s="252">
        <v>33142266.569943558</v>
      </c>
      <c r="DN54" s="252">
        <v>8097291.4593327818</v>
      </c>
      <c r="DO54" s="252">
        <v>914762.38073046785</v>
      </c>
      <c r="DP54" s="252">
        <v>2068803.8974813195</v>
      </c>
      <c r="DQ54" s="252">
        <v>668966.88661106513</v>
      </c>
      <c r="DR54" s="252">
        <v>92056824.274444938</v>
      </c>
      <c r="DS54" s="252">
        <v>11816443.794769363</v>
      </c>
      <c r="DT54" s="252">
        <v>620858.40873604408</v>
      </c>
      <c r="DU54" s="252">
        <v>21684938.795663085</v>
      </c>
      <c r="DV54" s="252">
        <v>24338787.384704694</v>
      </c>
      <c r="DW54" s="252">
        <v>33119492.061645631</v>
      </c>
      <c r="DX54" s="252">
        <v>79246224.333706468</v>
      </c>
      <c r="DY54" s="252">
        <v>91779552.04164733</v>
      </c>
      <c r="DZ54" s="252">
        <v>45023943.385343626</v>
      </c>
      <c r="EA54" s="252">
        <v>500000000</v>
      </c>
      <c r="EB54" s="252">
        <v>73654987.464285731</v>
      </c>
      <c r="EC54" s="252">
        <v>157347456</v>
      </c>
      <c r="ED54" s="252">
        <v>5573232790.3076096</v>
      </c>
      <c r="EF54" s="252">
        <v>6304235233.7718954</v>
      </c>
    </row>
    <row r="55" spans="1:139" x14ac:dyDescent="0.3">
      <c r="B55" s="435" t="s">
        <v>3518</v>
      </c>
      <c r="C55" s="252">
        <v>8161110.2821897101</v>
      </c>
      <c r="D55" s="252">
        <v>86562213.604253531</v>
      </c>
      <c r="E55" s="252">
        <v>6867180.1702625966</v>
      </c>
      <c r="F55" s="252">
        <v>2710095.5162190432</v>
      </c>
      <c r="G55" s="252">
        <v>55669709.653683931</v>
      </c>
      <c r="H55" s="252">
        <v>26013817.178115316</v>
      </c>
      <c r="I55" s="252">
        <v>266124.96280184441</v>
      </c>
      <c r="J55" s="252">
        <v>958807.63020025496</v>
      </c>
      <c r="K55" s="252">
        <v>1584212.5914881283</v>
      </c>
      <c r="L55" s="252">
        <v>7324541.0237479117</v>
      </c>
      <c r="M55" s="252">
        <v>183270461.27860856</v>
      </c>
      <c r="N55" s="252">
        <v>10127126.245440818</v>
      </c>
      <c r="O55" s="252">
        <v>497063.85655245947</v>
      </c>
      <c r="P55" s="252">
        <v>1849921.2559366494</v>
      </c>
      <c r="Q55" s="252">
        <v>89111059.22284393</v>
      </c>
      <c r="R55" s="252">
        <v>18411677.674934596</v>
      </c>
      <c r="S55" s="252">
        <v>4987179.5838926174</v>
      </c>
      <c r="T55" s="252">
        <v>43271255.418656349</v>
      </c>
      <c r="U55" s="252">
        <v>40768218.559195116</v>
      </c>
      <c r="V55" s="252">
        <v>23279655.286475241</v>
      </c>
      <c r="W55" s="252">
        <v>18553721.093285099</v>
      </c>
      <c r="X55" s="252">
        <v>299247923.75287366</v>
      </c>
      <c r="Y55" s="252">
        <v>2140554.0814729822</v>
      </c>
      <c r="Z55" s="252">
        <v>2854531.3697590921</v>
      </c>
      <c r="AA55" s="252">
        <v>8452600.8427885994</v>
      </c>
      <c r="AB55" s="252">
        <v>0</v>
      </c>
      <c r="AC55" s="252">
        <v>1196793.2093019499</v>
      </c>
      <c r="AD55" s="252">
        <v>3646909.0612001675</v>
      </c>
      <c r="AE55" s="252">
        <v>529959799.93398792</v>
      </c>
      <c r="AF55" s="252">
        <v>3180313.0029304181</v>
      </c>
      <c r="AG55" s="252">
        <v>5265406.5437650243</v>
      </c>
      <c r="AH55" s="252">
        <v>15817069.077129599</v>
      </c>
      <c r="AI55" s="252">
        <v>12096296.400083767</v>
      </c>
      <c r="AJ55" s="252">
        <v>2018371.3362433086</v>
      </c>
      <c r="AK55" s="252">
        <v>246633.04749999999</v>
      </c>
      <c r="AL55" s="252">
        <v>35013209.957514107</v>
      </c>
      <c r="AM55" s="252">
        <v>17233205.03499826</v>
      </c>
      <c r="AN55" s="252">
        <v>79439380.835594893</v>
      </c>
      <c r="AO55" s="252">
        <v>3434436.3074305858</v>
      </c>
      <c r="AP55" s="252">
        <v>0</v>
      </c>
      <c r="AQ55" s="252">
        <v>86552695.137456223</v>
      </c>
      <c r="AR55" s="252">
        <v>22102496.890634943</v>
      </c>
      <c r="AS55" s="252">
        <v>15857137.625034837</v>
      </c>
      <c r="AT55" s="252">
        <v>16398370.109412383</v>
      </c>
      <c r="AU55" s="252">
        <v>93929970.519911081</v>
      </c>
      <c r="AV55" s="252">
        <v>63755392.93983309</v>
      </c>
      <c r="AW55" s="252">
        <v>1158547627.1707654</v>
      </c>
      <c r="AX55" s="252">
        <v>241432667.89550805</v>
      </c>
      <c r="AY55" s="252">
        <v>90952735.582657978</v>
      </c>
      <c r="AZ55" s="252">
        <v>16312717.038720023</v>
      </c>
      <c r="BA55" s="252">
        <v>0</v>
      </c>
      <c r="BB55" s="252">
        <v>3075895.4682487636</v>
      </c>
      <c r="BC55" s="252">
        <v>13989878.136604898</v>
      </c>
      <c r="BD55" s="252">
        <v>4229978.8278301619</v>
      </c>
      <c r="BE55" s="252">
        <v>3527747.2071633311</v>
      </c>
      <c r="BF55" s="252">
        <v>0</v>
      </c>
      <c r="BG55" s="252">
        <v>22976988.858620334</v>
      </c>
      <c r="BH55" s="252">
        <v>7478720.8990000002</v>
      </c>
      <c r="BI55" s="252">
        <v>66884228.057347059</v>
      </c>
      <c r="BJ55" s="252">
        <v>1270710.6670346302</v>
      </c>
      <c r="BK55" s="252">
        <v>26235386.265985314</v>
      </c>
      <c r="BL55" s="252">
        <v>33666717.688076802</v>
      </c>
      <c r="BM55" s="252">
        <v>977017.42477461044</v>
      </c>
      <c r="BN55" s="252">
        <v>268059502.23615873</v>
      </c>
      <c r="BO55" s="252">
        <v>3614793.5183589398</v>
      </c>
      <c r="BP55" s="252">
        <v>153112746.2229118</v>
      </c>
      <c r="BQ55" s="252">
        <v>57373870.962640792</v>
      </c>
      <c r="BR55" s="252">
        <v>4911987.2134293634</v>
      </c>
      <c r="BS55" s="252">
        <v>14718603.801073048</v>
      </c>
      <c r="BT55" s="252">
        <v>3227287.6144623924</v>
      </c>
      <c r="BU55" s="252">
        <v>92797643.63312532</v>
      </c>
      <c r="BV55" s="252">
        <v>27928837.699999999</v>
      </c>
      <c r="BW55" s="252">
        <v>19808578.95310837</v>
      </c>
      <c r="BX55" s="252">
        <v>31505443.852249466</v>
      </c>
      <c r="BY55" s="252">
        <v>75577904.343309224</v>
      </c>
      <c r="BZ55" s="252">
        <v>74050978.049870625</v>
      </c>
      <c r="CA55" s="252">
        <v>10007849.7014529</v>
      </c>
      <c r="CB55" s="252">
        <v>8622218.9814371895</v>
      </c>
      <c r="CC55" s="252">
        <v>0</v>
      </c>
      <c r="CD55" s="252">
        <v>7949768.2802094352</v>
      </c>
      <c r="CE55" s="252">
        <v>2891078.3495752076</v>
      </c>
      <c r="CF55" s="252">
        <v>10618636.010794537</v>
      </c>
      <c r="CG55" s="252">
        <v>6001365.7102174563</v>
      </c>
      <c r="CH55" s="252">
        <v>18332226.129880257</v>
      </c>
      <c r="CI55" s="252">
        <v>0</v>
      </c>
      <c r="CJ55" s="252">
        <v>0</v>
      </c>
      <c r="CK55" s="252">
        <v>583522</v>
      </c>
      <c r="CL55" s="252">
        <v>9379001.4585873764</v>
      </c>
      <c r="CM55" s="252">
        <v>87225570.7928904</v>
      </c>
      <c r="CN55" s="252">
        <v>4593264.2950275652</v>
      </c>
      <c r="CO55" s="252">
        <v>11547637.870375128</v>
      </c>
      <c r="CP55" s="252">
        <v>42659887.682451025</v>
      </c>
      <c r="CQ55" s="252">
        <v>11050691.98686507</v>
      </c>
      <c r="CR55" s="252">
        <v>20323668.79981783</v>
      </c>
      <c r="CS55" s="252">
        <v>17696701.168172412</v>
      </c>
      <c r="CT55" s="252">
        <v>9815536.8247260898</v>
      </c>
      <c r="CU55" s="252">
        <v>4331236.1057222551</v>
      </c>
      <c r="CV55" s="252">
        <v>5464350.9619837226</v>
      </c>
      <c r="CW55" s="252">
        <v>105965993.55191407</v>
      </c>
      <c r="CX55" s="252">
        <v>67137403.098253533</v>
      </c>
      <c r="CY55" s="252">
        <v>10191178.150325641</v>
      </c>
      <c r="CZ55" s="252">
        <v>10868102.01925724</v>
      </c>
      <c r="DA55" s="252">
        <v>969631.88139976026</v>
      </c>
      <c r="DB55" s="252">
        <v>434989.61355423892</v>
      </c>
      <c r="DC55" s="252">
        <v>787445.39060782781</v>
      </c>
      <c r="DD55" s="252">
        <v>222341.04246143124</v>
      </c>
      <c r="DE55" s="252">
        <v>1416131.7877477147</v>
      </c>
      <c r="DF55" s="252">
        <v>2018264.2795819512</v>
      </c>
      <c r="DG55" s="252">
        <v>0</v>
      </c>
      <c r="DH55" s="252">
        <v>23145200.209557645</v>
      </c>
      <c r="DI55" s="252">
        <v>8318479.2229632949</v>
      </c>
      <c r="DJ55" s="252">
        <v>98678310.036165118</v>
      </c>
      <c r="DK55" s="252">
        <v>1402712.2647647155</v>
      </c>
      <c r="DL55" s="252">
        <v>68959663.265957519</v>
      </c>
      <c r="DM55" s="252">
        <v>33142266.569943558</v>
      </c>
      <c r="DN55" s="252">
        <v>8097291.4593327818</v>
      </c>
      <c r="DO55" s="252">
        <v>914762.38073046785</v>
      </c>
      <c r="DP55" s="252">
        <v>2068803.8974813195</v>
      </c>
      <c r="DQ55" s="252">
        <v>668966.88661106513</v>
      </c>
      <c r="DR55" s="252">
        <v>92056824.274444938</v>
      </c>
      <c r="DS55" s="252">
        <v>11816443.794769363</v>
      </c>
      <c r="DT55" s="252">
        <v>620858.40873604408</v>
      </c>
      <c r="DU55" s="252">
        <v>23201398.795663085</v>
      </c>
      <c r="DV55" s="252">
        <v>24338787.384704694</v>
      </c>
      <c r="DW55" s="252">
        <v>33119492.061645631</v>
      </c>
      <c r="DX55" s="252">
        <v>79246224.333706468</v>
      </c>
      <c r="DY55" s="252">
        <v>91779552.04164733</v>
      </c>
      <c r="DZ55" s="252">
        <v>45023943.385343626</v>
      </c>
      <c r="ED55" s="252">
        <v>5604037518.9941339</v>
      </c>
    </row>
    <row r="56" spans="1:139" x14ac:dyDescent="0.3">
      <c r="B56" s="435" t="s">
        <v>3514</v>
      </c>
      <c r="C56" s="252">
        <v>0</v>
      </c>
      <c r="D56" s="252">
        <v>0</v>
      </c>
      <c r="E56" s="252">
        <v>0</v>
      </c>
      <c r="F56" s="252">
        <v>0</v>
      </c>
      <c r="G56" s="252">
        <v>0</v>
      </c>
      <c r="H56" s="252">
        <v>0</v>
      </c>
      <c r="I56" s="252">
        <v>0</v>
      </c>
      <c r="J56" s="252">
        <v>0</v>
      </c>
      <c r="K56" s="252">
        <v>0</v>
      </c>
      <c r="L56" s="252">
        <v>0</v>
      </c>
      <c r="M56" s="252">
        <v>0</v>
      </c>
      <c r="N56" s="252">
        <v>0</v>
      </c>
      <c r="O56" s="252">
        <v>0</v>
      </c>
      <c r="P56" s="252">
        <v>0</v>
      </c>
      <c r="Q56" s="252">
        <v>0</v>
      </c>
      <c r="R56" s="252">
        <v>0</v>
      </c>
      <c r="S56" s="252">
        <v>0</v>
      </c>
      <c r="T56" s="252">
        <v>0</v>
      </c>
      <c r="U56" s="252">
        <v>0</v>
      </c>
      <c r="V56" s="252">
        <v>0</v>
      </c>
      <c r="W56" s="252">
        <v>0</v>
      </c>
      <c r="X56" s="252">
        <v>0</v>
      </c>
      <c r="Y56" s="252">
        <v>0</v>
      </c>
      <c r="Z56" s="252">
        <v>0</v>
      </c>
      <c r="AA56" s="252">
        <v>0</v>
      </c>
      <c r="AB56" s="252">
        <v>0</v>
      </c>
      <c r="AC56" s="252">
        <v>0</v>
      </c>
      <c r="AD56" s="252">
        <v>0</v>
      </c>
      <c r="AE56" s="252">
        <v>0</v>
      </c>
      <c r="AF56" s="252">
        <v>0</v>
      </c>
      <c r="AG56" s="252">
        <v>0</v>
      </c>
      <c r="AH56" s="252">
        <v>0</v>
      </c>
      <c r="AI56" s="252">
        <v>0</v>
      </c>
      <c r="AJ56" s="252">
        <v>0</v>
      </c>
      <c r="AK56" s="252">
        <v>0</v>
      </c>
      <c r="AL56" s="252">
        <v>0</v>
      </c>
      <c r="AM56" s="252">
        <v>0</v>
      </c>
      <c r="AN56" s="252">
        <v>0</v>
      </c>
      <c r="AO56" s="252">
        <v>0</v>
      </c>
      <c r="AP56" s="252">
        <v>0</v>
      </c>
      <c r="AQ56" s="252">
        <v>0</v>
      </c>
      <c r="AR56" s="252">
        <v>0</v>
      </c>
      <c r="AS56" s="252">
        <v>0</v>
      </c>
      <c r="AT56" s="252">
        <v>0</v>
      </c>
      <c r="AU56" s="252">
        <v>0</v>
      </c>
      <c r="AV56" s="252">
        <v>0</v>
      </c>
      <c r="AW56" s="252">
        <v>0</v>
      </c>
      <c r="AX56" s="252">
        <v>0</v>
      </c>
      <c r="AY56" s="252">
        <v>0</v>
      </c>
      <c r="AZ56" s="252">
        <v>0</v>
      </c>
      <c r="BA56" s="252">
        <v>0</v>
      </c>
      <c r="BB56" s="252">
        <v>0</v>
      </c>
      <c r="BC56" s="252">
        <v>0</v>
      </c>
      <c r="BD56" s="252">
        <v>0</v>
      </c>
      <c r="BE56" s="252">
        <v>0</v>
      </c>
      <c r="BF56" s="252">
        <v>0</v>
      </c>
      <c r="BG56" s="252">
        <v>0</v>
      </c>
      <c r="BH56" s="252">
        <v>0</v>
      </c>
      <c r="BI56" s="252">
        <v>0</v>
      </c>
      <c r="BJ56" s="252">
        <v>0</v>
      </c>
      <c r="BK56" s="252">
        <v>0</v>
      </c>
      <c r="BL56" s="252">
        <v>0</v>
      </c>
      <c r="BM56" s="252">
        <v>0</v>
      </c>
      <c r="BN56" s="252">
        <v>0</v>
      </c>
      <c r="BO56" s="252">
        <v>0</v>
      </c>
      <c r="BP56" s="252">
        <v>0</v>
      </c>
      <c r="BQ56" s="252">
        <v>0</v>
      </c>
      <c r="BR56" s="252">
        <v>0</v>
      </c>
      <c r="BS56" s="252">
        <v>0</v>
      </c>
      <c r="BT56" s="252">
        <v>0</v>
      </c>
      <c r="BU56" s="252">
        <v>0</v>
      </c>
      <c r="BV56" s="252">
        <v>0</v>
      </c>
      <c r="BW56" s="252">
        <v>0</v>
      </c>
      <c r="BX56" s="252">
        <v>0</v>
      </c>
      <c r="BY56" s="252">
        <v>0</v>
      </c>
      <c r="BZ56" s="252">
        <v>0</v>
      </c>
      <c r="CA56" s="252">
        <v>0</v>
      </c>
      <c r="CB56" s="252">
        <v>0</v>
      </c>
      <c r="CC56" s="252">
        <v>0</v>
      </c>
      <c r="CD56" s="252">
        <v>0</v>
      </c>
      <c r="CE56" s="252">
        <v>0</v>
      </c>
      <c r="CF56" s="252">
        <v>0</v>
      </c>
      <c r="CG56" s="252">
        <v>0</v>
      </c>
      <c r="CH56" s="252">
        <v>0</v>
      </c>
      <c r="CI56" s="252">
        <v>0</v>
      </c>
      <c r="CJ56" s="252">
        <v>0</v>
      </c>
      <c r="CK56" s="252">
        <v>0</v>
      </c>
      <c r="CL56" s="252">
        <v>0</v>
      </c>
      <c r="CM56" s="252">
        <v>0</v>
      </c>
      <c r="CN56" s="252">
        <v>0</v>
      </c>
      <c r="CO56" s="252">
        <v>0</v>
      </c>
      <c r="CP56" s="252">
        <v>0</v>
      </c>
      <c r="CQ56" s="252">
        <v>0</v>
      </c>
      <c r="CR56" s="252">
        <v>0</v>
      </c>
      <c r="CS56" s="252">
        <v>0</v>
      </c>
      <c r="CT56" s="252">
        <v>0</v>
      </c>
      <c r="CU56" s="252">
        <v>0</v>
      </c>
      <c r="CV56" s="252">
        <v>0</v>
      </c>
      <c r="CW56" s="252">
        <v>0</v>
      </c>
      <c r="CX56" s="252">
        <v>0</v>
      </c>
      <c r="CY56" s="252">
        <v>0</v>
      </c>
      <c r="CZ56" s="252">
        <v>0</v>
      </c>
      <c r="DA56" s="252">
        <v>0</v>
      </c>
      <c r="DB56" s="252">
        <v>0</v>
      </c>
      <c r="DC56" s="252">
        <v>0</v>
      </c>
      <c r="DD56" s="252">
        <v>0</v>
      </c>
      <c r="DE56" s="252">
        <v>0</v>
      </c>
      <c r="DF56" s="252">
        <v>0</v>
      </c>
      <c r="DG56" s="252">
        <v>0</v>
      </c>
      <c r="DH56" s="252">
        <v>0</v>
      </c>
      <c r="DI56" s="252">
        <v>0</v>
      </c>
      <c r="DJ56" s="252">
        <v>0</v>
      </c>
      <c r="DK56" s="252">
        <v>0</v>
      </c>
      <c r="DL56" s="252">
        <v>0</v>
      </c>
      <c r="DM56" s="252">
        <v>0</v>
      </c>
      <c r="DN56" s="252">
        <v>0</v>
      </c>
      <c r="DO56" s="252">
        <v>0</v>
      </c>
      <c r="DP56" s="252">
        <v>0</v>
      </c>
      <c r="DQ56" s="252">
        <v>0</v>
      </c>
      <c r="DR56" s="252">
        <v>0</v>
      </c>
      <c r="DS56" s="252">
        <v>0</v>
      </c>
      <c r="DT56" s="252">
        <v>0</v>
      </c>
      <c r="DU56" s="252">
        <v>0</v>
      </c>
      <c r="DV56" s="252">
        <v>0</v>
      </c>
      <c r="DW56" s="252">
        <v>0</v>
      </c>
      <c r="DX56" s="252">
        <v>0</v>
      </c>
      <c r="DY56" s="252">
        <v>0</v>
      </c>
      <c r="DZ56" s="252">
        <v>0</v>
      </c>
      <c r="ED56" s="252">
        <v>0</v>
      </c>
    </row>
    <row r="57" spans="1:139" x14ac:dyDescent="0.3">
      <c r="A57" s="435" t="s">
        <v>3119</v>
      </c>
      <c r="B57" s="435">
        <v>250</v>
      </c>
      <c r="X57" s="252">
        <v>195120494.77671233</v>
      </c>
      <c r="Y57" s="252">
        <v>1417599.1391825778</v>
      </c>
      <c r="Z57" s="252">
        <v>2178947.2907439847</v>
      </c>
      <c r="AA57" s="252">
        <v>6152259.3774690684</v>
      </c>
      <c r="AB57" s="252">
        <v>4861732.0615136437</v>
      </c>
      <c r="AC57" s="252">
        <v>780067.03108897374</v>
      </c>
    </row>
    <row r="58" spans="1:139" x14ac:dyDescent="0.3">
      <c r="A58" s="435" t="s">
        <v>112</v>
      </c>
      <c r="B58" s="435">
        <v>288</v>
      </c>
    </row>
    <row r="59" spans="1:139" x14ac:dyDescent="0.3">
      <c r="A59" s="435" t="s">
        <v>113</v>
      </c>
      <c r="B59" s="435">
        <v>350</v>
      </c>
    </row>
    <row r="60" spans="1:139" x14ac:dyDescent="0.3">
      <c r="A60" s="435" t="s">
        <v>606</v>
      </c>
      <c r="B60" s="435">
        <v>295</v>
      </c>
    </row>
    <row r="61" spans="1:139" x14ac:dyDescent="0.3">
      <c r="A61" s="435" t="s">
        <v>688</v>
      </c>
      <c r="B61" s="435">
        <v>339</v>
      </c>
    </row>
  </sheetData>
  <autoFilter ref="A6:EI49"/>
  <pageMargins left="0.70866141732283472" right="0.70866141732283472" top="1.1417322834645669" bottom="0.74803149606299213" header="0.31496062992125984" footer="0.31496062992125984"/>
  <pageSetup paperSize="8" scale="70" fitToWidth="8" orientation="landscape" r:id="rId1"/>
  <headerFooter>
    <oddHeader>&amp;L&amp;"-,Félkövér"&amp;18&amp;F
&amp;A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workbookViewId="0">
      <selection activeCell="ED24" sqref="ED24"/>
    </sheetView>
  </sheetViews>
  <sheetFormatPr defaultRowHeight="15.6" x14ac:dyDescent="0.3"/>
  <cols>
    <col min="1" max="1" width="10.88671875" customWidth="1"/>
    <col min="3" max="6" width="15.44140625" customWidth="1"/>
    <col min="7" max="7" width="12.44140625" customWidth="1"/>
    <col min="8" max="8" width="13.33203125" customWidth="1"/>
    <col min="10" max="10" width="15.44140625" customWidth="1"/>
    <col min="11" max="11" width="12.21875" bestFit="1" customWidth="1"/>
    <col min="257" max="257" width="13.88671875" bestFit="1" customWidth="1"/>
    <col min="258" max="258" width="19.88671875" customWidth="1"/>
    <col min="259" max="259" width="23.44140625" customWidth="1"/>
    <col min="260" max="260" width="13.44140625" customWidth="1"/>
    <col min="261" max="261" width="11.44140625" customWidth="1"/>
    <col min="262" max="262" width="16" customWidth="1"/>
    <col min="513" max="513" width="13.88671875" bestFit="1" customWidth="1"/>
    <col min="514" max="514" width="19.88671875" customWidth="1"/>
    <col min="515" max="515" width="23.44140625" customWidth="1"/>
    <col min="516" max="516" width="13.44140625" customWidth="1"/>
    <col min="517" max="517" width="11.44140625" customWidth="1"/>
    <col min="518" max="518" width="16" customWidth="1"/>
    <col min="769" max="769" width="13.88671875" bestFit="1" customWidth="1"/>
    <col min="770" max="770" width="19.88671875" customWidth="1"/>
    <col min="771" max="771" width="23.44140625" customWidth="1"/>
    <col min="772" max="772" width="13.44140625" customWidth="1"/>
    <col min="773" max="773" width="11.44140625" customWidth="1"/>
    <col min="774" max="774" width="16" customWidth="1"/>
    <col min="1025" max="1025" width="13.88671875" bestFit="1" customWidth="1"/>
    <col min="1026" max="1026" width="19.88671875" customWidth="1"/>
    <col min="1027" max="1027" width="23.44140625" customWidth="1"/>
    <col min="1028" max="1028" width="13.44140625" customWidth="1"/>
    <col min="1029" max="1029" width="11.44140625" customWidth="1"/>
    <col min="1030" max="1030" width="16" customWidth="1"/>
    <col min="1281" max="1281" width="13.88671875" bestFit="1" customWidth="1"/>
    <col min="1282" max="1282" width="19.88671875" customWidth="1"/>
    <col min="1283" max="1283" width="23.44140625" customWidth="1"/>
    <col min="1284" max="1284" width="13.44140625" customWidth="1"/>
    <col min="1285" max="1285" width="11.44140625" customWidth="1"/>
    <col min="1286" max="1286" width="16" customWidth="1"/>
    <col min="1537" max="1537" width="13.88671875" bestFit="1" customWidth="1"/>
    <col min="1538" max="1538" width="19.88671875" customWidth="1"/>
    <col min="1539" max="1539" width="23.44140625" customWidth="1"/>
    <col min="1540" max="1540" width="13.44140625" customWidth="1"/>
    <col min="1541" max="1541" width="11.44140625" customWidth="1"/>
    <col min="1542" max="1542" width="16" customWidth="1"/>
    <col min="1793" max="1793" width="13.88671875" bestFit="1" customWidth="1"/>
    <col min="1794" max="1794" width="19.88671875" customWidth="1"/>
    <col min="1795" max="1795" width="23.44140625" customWidth="1"/>
    <col min="1796" max="1796" width="13.44140625" customWidth="1"/>
    <col min="1797" max="1797" width="11.44140625" customWidth="1"/>
    <col min="1798" max="1798" width="16" customWidth="1"/>
    <col min="2049" max="2049" width="13.88671875" bestFit="1" customWidth="1"/>
    <col min="2050" max="2050" width="19.88671875" customWidth="1"/>
    <col min="2051" max="2051" width="23.44140625" customWidth="1"/>
    <col min="2052" max="2052" width="13.44140625" customWidth="1"/>
    <col min="2053" max="2053" width="11.44140625" customWidth="1"/>
    <col min="2054" max="2054" width="16" customWidth="1"/>
    <col min="2305" max="2305" width="13.88671875" bestFit="1" customWidth="1"/>
    <col min="2306" max="2306" width="19.88671875" customWidth="1"/>
    <col min="2307" max="2307" width="23.44140625" customWidth="1"/>
    <col min="2308" max="2308" width="13.44140625" customWidth="1"/>
    <col min="2309" max="2309" width="11.44140625" customWidth="1"/>
    <col min="2310" max="2310" width="16" customWidth="1"/>
    <col min="2561" max="2561" width="13.88671875" bestFit="1" customWidth="1"/>
    <col min="2562" max="2562" width="19.88671875" customWidth="1"/>
    <col min="2563" max="2563" width="23.44140625" customWidth="1"/>
    <col min="2564" max="2564" width="13.44140625" customWidth="1"/>
    <col min="2565" max="2565" width="11.44140625" customWidth="1"/>
    <col min="2566" max="2566" width="16" customWidth="1"/>
    <col min="2817" max="2817" width="13.88671875" bestFit="1" customWidth="1"/>
    <col min="2818" max="2818" width="19.88671875" customWidth="1"/>
    <col min="2819" max="2819" width="23.44140625" customWidth="1"/>
    <col min="2820" max="2820" width="13.44140625" customWidth="1"/>
    <col min="2821" max="2821" width="11.44140625" customWidth="1"/>
    <col min="2822" max="2822" width="16" customWidth="1"/>
    <col min="3073" max="3073" width="13.88671875" bestFit="1" customWidth="1"/>
    <col min="3074" max="3074" width="19.88671875" customWidth="1"/>
    <col min="3075" max="3075" width="23.44140625" customWidth="1"/>
    <col min="3076" max="3076" width="13.44140625" customWidth="1"/>
    <col min="3077" max="3077" width="11.44140625" customWidth="1"/>
    <col min="3078" max="3078" width="16" customWidth="1"/>
    <col min="3329" max="3329" width="13.88671875" bestFit="1" customWidth="1"/>
    <col min="3330" max="3330" width="19.88671875" customWidth="1"/>
    <col min="3331" max="3331" width="23.44140625" customWidth="1"/>
    <col min="3332" max="3332" width="13.44140625" customWidth="1"/>
    <col min="3333" max="3333" width="11.44140625" customWidth="1"/>
    <col min="3334" max="3334" width="16" customWidth="1"/>
    <col min="3585" max="3585" width="13.88671875" bestFit="1" customWidth="1"/>
    <col min="3586" max="3586" width="19.88671875" customWidth="1"/>
    <col min="3587" max="3587" width="23.44140625" customWidth="1"/>
    <col min="3588" max="3588" width="13.44140625" customWidth="1"/>
    <col min="3589" max="3589" width="11.44140625" customWidth="1"/>
    <col min="3590" max="3590" width="16" customWidth="1"/>
    <col min="3841" max="3841" width="13.88671875" bestFit="1" customWidth="1"/>
    <col min="3842" max="3842" width="19.88671875" customWidth="1"/>
    <col min="3843" max="3843" width="23.44140625" customWidth="1"/>
    <col min="3844" max="3844" width="13.44140625" customWidth="1"/>
    <col min="3845" max="3845" width="11.44140625" customWidth="1"/>
    <col min="3846" max="3846" width="16" customWidth="1"/>
    <col min="4097" max="4097" width="13.88671875" bestFit="1" customWidth="1"/>
    <col min="4098" max="4098" width="19.88671875" customWidth="1"/>
    <col min="4099" max="4099" width="23.44140625" customWidth="1"/>
    <col min="4100" max="4100" width="13.44140625" customWidth="1"/>
    <col min="4101" max="4101" width="11.44140625" customWidth="1"/>
    <col min="4102" max="4102" width="16" customWidth="1"/>
    <col min="4353" max="4353" width="13.88671875" bestFit="1" customWidth="1"/>
    <col min="4354" max="4354" width="19.88671875" customWidth="1"/>
    <col min="4355" max="4355" width="23.44140625" customWidth="1"/>
    <col min="4356" max="4356" width="13.44140625" customWidth="1"/>
    <col min="4357" max="4357" width="11.44140625" customWidth="1"/>
    <col min="4358" max="4358" width="16" customWidth="1"/>
    <col min="4609" max="4609" width="13.88671875" bestFit="1" customWidth="1"/>
    <col min="4610" max="4610" width="19.88671875" customWidth="1"/>
    <col min="4611" max="4611" width="23.44140625" customWidth="1"/>
    <col min="4612" max="4612" width="13.44140625" customWidth="1"/>
    <col min="4613" max="4613" width="11.44140625" customWidth="1"/>
    <col min="4614" max="4614" width="16" customWidth="1"/>
    <col min="4865" max="4865" width="13.88671875" bestFit="1" customWidth="1"/>
    <col min="4866" max="4866" width="19.88671875" customWidth="1"/>
    <col min="4867" max="4867" width="23.44140625" customWidth="1"/>
    <col min="4868" max="4868" width="13.44140625" customWidth="1"/>
    <col min="4869" max="4869" width="11.44140625" customWidth="1"/>
    <col min="4870" max="4870" width="16" customWidth="1"/>
    <col min="5121" max="5121" width="13.88671875" bestFit="1" customWidth="1"/>
    <col min="5122" max="5122" width="19.88671875" customWidth="1"/>
    <col min="5123" max="5123" width="23.44140625" customWidth="1"/>
    <col min="5124" max="5124" width="13.44140625" customWidth="1"/>
    <col min="5125" max="5125" width="11.44140625" customWidth="1"/>
    <col min="5126" max="5126" width="16" customWidth="1"/>
    <col min="5377" max="5377" width="13.88671875" bestFit="1" customWidth="1"/>
    <col min="5378" max="5378" width="19.88671875" customWidth="1"/>
    <col min="5379" max="5379" width="23.44140625" customWidth="1"/>
    <col min="5380" max="5380" width="13.44140625" customWidth="1"/>
    <col min="5381" max="5381" width="11.44140625" customWidth="1"/>
    <col min="5382" max="5382" width="16" customWidth="1"/>
    <col min="5633" max="5633" width="13.88671875" bestFit="1" customWidth="1"/>
    <col min="5634" max="5634" width="19.88671875" customWidth="1"/>
    <col min="5635" max="5635" width="23.44140625" customWidth="1"/>
    <col min="5636" max="5636" width="13.44140625" customWidth="1"/>
    <col min="5637" max="5637" width="11.44140625" customWidth="1"/>
    <col min="5638" max="5638" width="16" customWidth="1"/>
    <col min="5889" max="5889" width="13.88671875" bestFit="1" customWidth="1"/>
    <col min="5890" max="5890" width="19.88671875" customWidth="1"/>
    <col min="5891" max="5891" width="23.44140625" customWidth="1"/>
    <col min="5892" max="5892" width="13.44140625" customWidth="1"/>
    <col min="5893" max="5893" width="11.44140625" customWidth="1"/>
    <col min="5894" max="5894" width="16" customWidth="1"/>
    <col min="6145" max="6145" width="13.88671875" bestFit="1" customWidth="1"/>
    <col min="6146" max="6146" width="19.88671875" customWidth="1"/>
    <col min="6147" max="6147" width="23.44140625" customWidth="1"/>
    <col min="6148" max="6148" width="13.44140625" customWidth="1"/>
    <col min="6149" max="6149" width="11.44140625" customWidth="1"/>
    <col min="6150" max="6150" width="16" customWidth="1"/>
    <col min="6401" max="6401" width="13.88671875" bestFit="1" customWidth="1"/>
    <col min="6402" max="6402" width="19.88671875" customWidth="1"/>
    <col min="6403" max="6403" width="23.44140625" customWidth="1"/>
    <col min="6404" max="6404" width="13.44140625" customWidth="1"/>
    <col min="6405" max="6405" width="11.44140625" customWidth="1"/>
    <col min="6406" max="6406" width="16" customWidth="1"/>
    <col min="6657" max="6657" width="13.88671875" bestFit="1" customWidth="1"/>
    <col min="6658" max="6658" width="19.88671875" customWidth="1"/>
    <col min="6659" max="6659" width="23.44140625" customWidth="1"/>
    <col min="6660" max="6660" width="13.44140625" customWidth="1"/>
    <col min="6661" max="6661" width="11.44140625" customWidth="1"/>
    <col min="6662" max="6662" width="16" customWidth="1"/>
    <col min="6913" max="6913" width="13.88671875" bestFit="1" customWidth="1"/>
    <col min="6914" max="6914" width="19.88671875" customWidth="1"/>
    <col min="6915" max="6915" width="23.44140625" customWidth="1"/>
    <col min="6916" max="6916" width="13.44140625" customWidth="1"/>
    <col min="6917" max="6917" width="11.44140625" customWidth="1"/>
    <col min="6918" max="6918" width="16" customWidth="1"/>
    <col min="7169" max="7169" width="13.88671875" bestFit="1" customWidth="1"/>
    <col min="7170" max="7170" width="19.88671875" customWidth="1"/>
    <col min="7171" max="7171" width="23.44140625" customWidth="1"/>
    <col min="7172" max="7172" width="13.44140625" customWidth="1"/>
    <col min="7173" max="7173" width="11.44140625" customWidth="1"/>
    <col min="7174" max="7174" width="16" customWidth="1"/>
    <col min="7425" max="7425" width="13.88671875" bestFit="1" customWidth="1"/>
    <col min="7426" max="7426" width="19.88671875" customWidth="1"/>
    <col min="7427" max="7427" width="23.44140625" customWidth="1"/>
    <col min="7428" max="7428" width="13.44140625" customWidth="1"/>
    <col min="7429" max="7429" width="11.44140625" customWidth="1"/>
    <col min="7430" max="7430" width="16" customWidth="1"/>
    <col min="7681" max="7681" width="13.88671875" bestFit="1" customWidth="1"/>
    <col min="7682" max="7682" width="19.88671875" customWidth="1"/>
    <col min="7683" max="7683" width="23.44140625" customWidth="1"/>
    <col min="7684" max="7684" width="13.44140625" customWidth="1"/>
    <col min="7685" max="7685" width="11.44140625" customWidth="1"/>
    <col min="7686" max="7686" width="16" customWidth="1"/>
    <col min="7937" max="7937" width="13.88671875" bestFit="1" customWidth="1"/>
    <col min="7938" max="7938" width="19.88671875" customWidth="1"/>
    <col min="7939" max="7939" width="23.44140625" customWidth="1"/>
    <col min="7940" max="7940" width="13.44140625" customWidth="1"/>
    <col min="7941" max="7941" width="11.44140625" customWidth="1"/>
    <col min="7942" max="7942" width="16" customWidth="1"/>
    <col min="8193" max="8193" width="13.88671875" bestFit="1" customWidth="1"/>
    <col min="8194" max="8194" width="19.88671875" customWidth="1"/>
    <col min="8195" max="8195" width="23.44140625" customWidth="1"/>
    <col min="8196" max="8196" width="13.44140625" customWidth="1"/>
    <col min="8197" max="8197" width="11.44140625" customWidth="1"/>
    <col min="8198" max="8198" width="16" customWidth="1"/>
    <col min="8449" max="8449" width="13.88671875" bestFit="1" customWidth="1"/>
    <col min="8450" max="8450" width="19.88671875" customWidth="1"/>
    <col min="8451" max="8451" width="23.44140625" customWidth="1"/>
    <col min="8452" max="8452" width="13.44140625" customWidth="1"/>
    <col min="8453" max="8453" width="11.44140625" customWidth="1"/>
    <col min="8454" max="8454" width="16" customWidth="1"/>
    <col min="8705" max="8705" width="13.88671875" bestFit="1" customWidth="1"/>
    <col min="8706" max="8706" width="19.88671875" customWidth="1"/>
    <col min="8707" max="8707" width="23.44140625" customWidth="1"/>
    <col min="8708" max="8708" width="13.44140625" customWidth="1"/>
    <col min="8709" max="8709" width="11.44140625" customWidth="1"/>
    <col min="8710" max="8710" width="16" customWidth="1"/>
    <col min="8961" max="8961" width="13.88671875" bestFit="1" customWidth="1"/>
    <col min="8962" max="8962" width="19.88671875" customWidth="1"/>
    <col min="8963" max="8963" width="23.44140625" customWidth="1"/>
    <col min="8964" max="8964" width="13.44140625" customWidth="1"/>
    <col min="8965" max="8965" width="11.44140625" customWidth="1"/>
    <col min="8966" max="8966" width="16" customWidth="1"/>
    <col min="9217" max="9217" width="13.88671875" bestFit="1" customWidth="1"/>
    <col min="9218" max="9218" width="19.88671875" customWidth="1"/>
    <col min="9219" max="9219" width="23.44140625" customWidth="1"/>
    <col min="9220" max="9220" width="13.44140625" customWidth="1"/>
    <col min="9221" max="9221" width="11.44140625" customWidth="1"/>
    <col min="9222" max="9222" width="16" customWidth="1"/>
    <col min="9473" max="9473" width="13.88671875" bestFit="1" customWidth="1"/>
    <col min="9474" max="9474" width="19.88671875" customWidth="1"/>
    <col min="9475" max="9475" width="23.44140625" customWidth="1"/>
    <col min="9476" max="9476" width="13.44140625" customWidth="1"/>
    <col min="9477" max="9477" width="11.44140625" customWidth="1"/>
    <col min="9478" max="9478" width="16" customWidth="1"/>
    <col min="9729" max="9729" width="13.88671875" bestFit="1" customWidth="1"/>
    <col min="9730" max="9730" width="19.88671875" customWidth="1"/>
    <col min="9731" max="9731" width="23.44140625" customWidth="1"/>
    <col min="9732" max="9732" width="13.44140625" customWidth="1"/>
    <col min="9733" max="9733" width="11.44140625" customWidth="1"/>
    <col min="9734" max="9734" width="16" customWidth="1"/>
    <col min="9985" max="9985" width="13.88671875" bestFit="1" customWidth="1"/>
    <col min="9986" max="9986" width="19.88671875" customWidth="1"/>
    <col min="9987" max="9987" width="23.44140625" customWidth="1"/>
    <col min="9988" max="9988" width="13.44140625" customWidth="1"/>
    <col min="9989" max="9989" width="11.44140625" customWidth="1"/>
    <col min="9990" max="9990" width="16" customWidth="1"/>
    <col min="10241" max="10241" width="13.88671875" bestFit="1" customWidth="1"/>
    <col min="10242" max="10242" width="19.88671875" customWidth="1"/>
    <col min="10243" max="10243" width="23.44140625" customWidth="1"/>
    <col min="10244" max="10244" width="13.44140625" customWidth="1"/>
    <col min="10245" max="10245" width="11.44140625" customWidth="1"/>
    <col min="10246" max="10246" width="16" customWidth="1"/>
    <col min="10497" max="10497" width="13.88671875" bestFit="1" customWidth="1"/>
    <col min="10498" max="10498" width="19.88671875" customWidth="1"/>
    <col min="10499" max="10499" width="23.44140625" customWidth="1"/>
    <col min="10500" max="10500" width="13.44140625" customWidth="1"/>
    <col min="10501" max="10501" width="11.44140625" customWidth="1"/>
    <col min="10502" max="10502" width="16" customWidth="1"/>
    <col min="10753" max="10753" width="13.88671875" bestFit="1" customWidth="1"/>
    <col min="10754" max="10754" width="19.88671875" customWidth="1"/>
    <col min="10755" max="10755" width="23.44140625" customWidth="1"/>
    <col min="10756" max="10756" width="13.44140625" customWidth="1"/>
    <col min="10757" max="10757" width="11.44140625" customWidth="1"/>
    <col min="10758" max="10758" width="16" customWidth="1"/>
    <col min="11009" max="11009" width="13.88671875" bestFit="1" customWidth="1"/>
    <col min="11010" max="11010" width="19.88671875" customWidth="1"/>
    <col min="11011" max="11011" width="23.44140625" customWidth="1"/>
    <col min="11012" max="11012" width="13.44140625" customWidth="1"/>
    <col min="11013" max="11013" width="11.44140625" customWidth="1"/>
    <col min="11014" max="11014" width="16" customWidth="1"/>
    <col min="11265" max="11265" width="13.88671875" bestFit="1" customWidth="1"/>
    <col min="11266" max="11266" width="19.88671875" customWidth="1"/>
    <col min="11267" max="11267" width="23.44140625" customWidth="1"/>
    <col min="11268" max="11268" width="13.44140625" customWidth="1"/>
    <col min="11269" max="11269" width="11.44140625" customWidth="1"/>
    <col min="11270" max="11270" width="16" customWidth="1"/>
    <col min="11521" max="11521" width="13.88671875" bestFit="1" customWidth="1"/>
    <col min="11522" max="11522" width="19.88671875" customWidth="1"/>
    <col min="11523" max="11523" width="23.44140625" customWidth="1"/>
    <col min="11524" max="11524" width="13.44140625" customWidth="1"/>
    <col min="11525" max="11525" width="11.44140625" customWidth="1"/>
    <col min="11526" max="11526" width="16" customWidth="1"/>
    <col min="11777" max="11777" width="13.88671875" bestFit="1" customWidth="1"/>
    <col min="11778" max="11778" width="19.88671875" customWidth="1"/>
    <col min="11779" max="11779" width="23.44140625" customWidth="1"/>
    <col min="11780" max="11780" width="13.44140625" customWidth="1"/>
    <col min="11781" max="11781" width="11.44140625" customWidth="1"/>
    <col min="11782" max="11782" width="16" customWidth="1"/>
    <col min="12033" max="12033" width="13.88671875" bestFit="1" customWidth="1"/>
    <col min="12034" max="12034" width="19.88671875" customWidth="1"/>
    <col min="12035" max="12035" width="23.44140625" customWidth="1"/>
    <col min="12036" max="12036" width="13.44140625" customWidth="1"/>
    <col min="12037" max="12037" width="11.44140625" customWidth="1"/>
    <col min="12038" max="12038" width="16" customWidth="1"/>
    <col min="12289" max="12289" width="13.88671875" bestFit="1" customWidth="1"/>
    <col min="12290" max="12290" width="19.88671875" customWidth="1"/>
    <col min="12291" max="12291" width="23.44140625" customWidth="1"/>
    <col min="12292" max="12292" width="13.44140625" customWidth="1"/>
    <col min="12293" max="12293" width="11.44140625" customWidth="1"/>
    <col min="12294" max="12294" width="16" customWidth="1"/>
    <col min="12545" max="12545" width="13.88671875" bestFit="1" customWidth="1"/>
    <col min="12546" max="12546" width="19.88671875" customWidth="1"/>
    <col min="12547" max="12547" width="23.44140625" customWidth="1"/>
    <col min="12548" max="12548" width="13.44140625" customWidth="1"/>
    <col min="12549" max="12549" width="11.44140625" customWidth="1"/>
    <col min="12550" max="12550" width="16" customWidth="1"/>
    <col min="12801" max="12801" width="13.88671875" bestFit="1" customWidth="1"/>
    <col min="12802" max="12802" width="19.88671875" customWidth="1"/>
    <col min="12803" max="12803" width="23.44140625" customWidth="1"/>
    <col min="12804" max="12804" width="13.44140625" customWidth="1"/>
    <col min="12805" max="12805" width="11.44140625" customWidth="1"/>
    <col min="12806" max="12806" width="16" customWidth="1"/>
    <col min="13057" max="13057" width="13.88671875" bestFit="1" customWidth="1"/>
    <col min="13058" max="13058" width="19.88671875" customWidth="1"/>
    <col min="13059" max="13059" width="23.44140625" customWidth="1"/>
    <col min="13060" max="13060" width="13.44140625" customWidth="1"/>
    <col min="13061" max="13061" width="11.44140625" customWidth="1"/>
    <col min="13062" max="13062" width="16" customWidth="1"/>
    <col min="13313" max="13313" width="13.88671875" bestFit="1" customWidth="1"/>
    <col min="13314" max="13314" width="19.88671875" customWidth="1"/>
    <col min="13315" max="13315" width="23.44140625" customWidth="1"/>
    <col min="13316" max="13316" width="13.44140625" customWidth="1"/>
    <col min="13317" max="13317" width="11.44140625" customWidth="1"/>
    <col min="13318" max="13318" width="16" customWidth="1"/>
    <col min="13569" max="13569" width="13.88671875" bestFit="1" customWidth="1"/>
    <col min="13570" max="13570" width="19.88671875" customWidth="1"/>
    <col min="13571" max="13571" width="23.44140625" customWidth="1"/>
    <col min="13572" max="13572" width="13.44140625" customWidth="1"/>
    <col min="13573" max="13573" width="11.44140625" customWidth="1"/>
    <col min="13574" max="13574" width="16" customWidth="1"/>
    <col min="13825" max="13825" width="13.88671875" bestFit="1" customWidth="1"/>
    <col min="13826" max="13826" width="19.88671875" customWidth="1"/>
    <col min="13827" max="13827" width="23.44140625" customWidth="1"/>
    <col min="13828" max="13828" width="13.44140625" customWidth="1"/>
    <col min="13829" max="13829" width="11.44140625" customWidth="1"/>
    <col min="13830" max="13830" width="16" customWidth="1"/>
    <col min="14081" max="14081" width="13.88671875" bestFit="1" customWidth="1"/>
    <col min="14082" max="14082" width="19.88671875" customWidth="1"/>
    <col min="14083" max="14083" width="23.44140625" customWidth="1"/>
    <col min="14084" max="14084" width="13.44140625" customWidth="1"/>
    <col min="14085" max="14085" width="11.44140625" customWidth="1"/>
    <col min="14086" max="14086" width="16" customWidth="1"/>
    <col min="14337" max="14337" width="13.88671875" bestFit="1" customWidth="1"/>
    <col min="14338" max="14338" width="19.88671875" customWidth="1"/>
    <col min="14339" max="14339" width="23.44140625" customWidth="1"/>
    <col min="14340" max="14340" width="13.44140625" customWidth="1"/>
    <col min="14341" max="14341" width="11.44140625" customWidth="1"/>
    <col min="14342" max="14342" width="16" customWidth="1"/>
    <col min="14593" max="14593" width="13.88671875" bestFit="1" customWidth="1"/>
    <col min="14594" max="14594" width="19.88671875" customWidth="1"/>
    <col min="14595" max="14595" width="23.44140625" customWidth="1"/>
    <col min="14596" max="14596" width="13.44140625" customWidth="1"/>
    <col min="14597" max="14597" width="11.44140625" customWidth="1"/>
    <col min="14598" max="14598" width="16" customWidth="1"/>
    <col min="14849" max="14849" width="13.88671875" bestFit="1" customWidth="1"/>
    <col min="14850" max="14850" width="19.88671875" customWidth="1"/>
    <col min="14851" max="14851" width="23.44140625" customWidth="1"/>
    <col min="14852" max="14852" width="13.44140625" customWidth="1"/>
    <col min="14853" max="14853" width="11.44140625" customWidth="1"/>
    <col min="14854" max="14854" width="16" customWidth="1"/>
    <col min="15105" max="15105" width="13.88671875" bestFit="1" customWidth="1"/>
    <col min="15106" max="15106" width="19.88671875" customWidth="1"/>
    <col min="15107" max="15107" width="23.44140625" customWidth="1"/>
    <col min="15108" max="15108" width="13.44140625" customWidth="1"/>
    <col min="15109" max="15109" width="11.44140625" customWidth="1"/>
    <col min="15110" max="15110" width="16" customWidth="1"/>
    <col min="15361" max="15361" width="13.88671875" bestFit="1" customWidth="1"/>
    <col min="15362" max="15362" width="19.88671875" customWidth="1"/>
    <col min="15363" max="15363" width="23.44140625" customWidth="1"/>
    <col min="15364" max="15364" width="13.44140625" customWidth="1"/>
    <col min="15365" max="15365" width="11.44140625" customWidth="1"/>
    <col min="15366" max="15366" width="16" customWidth="1"/>
    <col min="15617" max="15617" width="13.88671875" bestFit="1" customWidth="1"/>
    <col min="15618" max="15618" width="19.88671875" customWidth="1"/>
    <col min="15619" max="15619" width="23.44140625" customWidth="1"/>
    <col min="15620" max="15620" width="13.44140625" customWidth="1"/>
    <col min="15621" max="15621" width="11.44140625" customWidth="1"/>
    <col min="15622" max="15622" width="16" customWidth="1"/>
    <col min="15873" max="15873" width="13.88671875" bestFit="1" customWidth="1"/>
    <col min="15874" max="15874" width="19.88671875" customWidth="1"/>
    <col min="15875" max="15875" width="23.44140625" customWidth="1"/>
    <col min="15876" max="15876" width="13.44140625" customWidth="1"/>
    <col min="15877" max="15877" width="11.44140625" customWidth="1"/>
    <col min="15878" max="15878" width="16" customWidth="1"/>
    <col min="16129" max="16129" width="13.88671875" bestFit="1" customWidth="1"/>
    <col min="16130" max="16130" width="19.88671875" customWidth="1"/>
    <col min="16131" max="16131" width="23.44140625" customWidth="1"/>
    <col min="16132" max="16132" width="13.44140625" customWidth="1"/>
    <col min="16133" max="16133" width="11.44140625" customWidth="1"/>
    <col min="16134" max="16134" width="16" customWidth="1"/>
  </cols>
  <sheetData>
    <row r="1" spans="1:11" ht="18" x14ac:dyDescent="0.35">
      <c r="A1" s="25" t="s">
        <v>3519</v>
      </c>
    </row>
    <row r="3" spans="1:11" ht="72" x14ac:dyDescent="0.3">
      <c r="A3" s="441" t="s">
        <v>60</v>
      </c>
      <c r="B3" s="441" t="s">
        <v>752</v>
      </c>
      <c r="C3" s="129" t="s">
        <v>3520</v>
      </c>
      <c r="D3" s="129" t="s">
        <v>3521</v>
      </c>
      <c r="E3" s="129" t="s">
        <v>3522</v>
      </c>
      <c r="F3" s="442" t="s">
        <v>2602</v>
      </c>
      <c r="G3" s="129" t="s">
        <v>3833</v>
      </c>
      <c r="H3" s="129" t="s">
        <v>3523</v>
      </c>
      <c r="I3" s="5"/>
      <c r="J3" s="5"/>
    </row>
    <row r="4" spans="1:11" x14ac:dyDescent="0.3">
      <c r="A4" s="21" t="s">
        <v>3524</v>
      </c>
      <c r="B4" s="443" t="s">
        <v>4</v>
      </c>
      <c r="C4" s="114">
        <v>11872935.720000001</v>
      </c>
      <c r="D4" s="114">
        <v>5000000</v>
      </c>
      <c r="E4" s="114">
        <v>13000000</v>
      </c>
      <c r="F4" s="444">
        <v>29872935.719999999</v>
      </c>
      <c r="G4" s="114">
        <v>607541</v>
      </c>
      <c r="H4" s="114">
        <v>29265394.719999999</v>
      </c>
      <c r="I4" s="85">
        <v>0.13208333333333333</v>
      </c>
      <c r="J4" s="115"/>
      <c r="K4" s="115"/>
    </row>
    <row r="5" spans="1:11" x14ac:dyDescent="0.3">
      <c r="A5" s="21" t="s">
        <v>3525</v>
      </c>
      <c r="B5" s="443" t="s">
        <v>6</v>
      </c>
      <c r="C5" s="115">
        <v>24694393.440000001</v>
      </c>
      <c r="D5" s="114">
        <v>2500000</v>
      </c>
      <c r="E5" s="114">
        <v>13000000</v>
      </c>
      <c r="F5" s="444">
        <v>40194393.439999998</v>
      </c>
      <c r="G5" s="114">
        <v>6376899</v>
      </c>
      <c r="H5" s="114">
        <v>33817494.439999998</v>
      </c>
      <c r="I5" s="85">
        <v>90000</v>
      </c>
      <c r="J5" s="115"/>
    </row>
    <row r="6" spans="1:11" x14ac:dyDescent="0.3">
      <c r="A6" s="21" t="s">
        <v>3526</v>
      </c>
      <c r="B6" s="443" t="s">
        <v>5</v>
      </c>
      <c r="C6" s="114">
        <v>29057121.210000001</v>
      </c>
      <c r="D6" s="114">
        <v>5000000</v>
      </c>
      <c r="E6" s="114">
        <v>26000000</v>
      </c>
      <c r="F6" s="444">
        <v>60057121.210000001</v>
      </c>
      <c r="G6" s="114">
        <v>15249028</v>
      </c>
      <c r="H6" s="114">
        <v>44808093.210000001</v>
      </c>
      <c r="J6" s="115"/>
    </row>
    <row r="7" spans="1:11" x14ac:dyDescent="0.3">
      <c r="A7" s="21" t="s">
        <v>3527</v>
      </c>
      <c r="B7" s="443" t="s">
        <v>8</v>
      </c>
      <c r="C7" s="114">
        <v>26017171.440000001</v>
      </c>
      <c r="D7" s="114">
        <v>1300000</v>
      </c>
      <c r="E7" s="114">
        <v>10000000</v>
      </c>
      <c r="F7" s="444">
        <v>37317171.439999998</v>
      </c>
      <c r="G7" s="114">
        <v>9645527</v>
      </c>
      <c r="H7" s="114">
        <v>27671644.439999998</v>
      </c>
      <c r="J7" s="115"/>
    </row>
    <row r="8" spans="1:11" x14ac:dyDescent="0.3">
      <c r="A8" s="21" t="s">
        <v>3528</v>
      </c>
      <c r="B8" s="443" t="s">
        <v>2607</v>
      </c>
      <c r="C8" s="114">
        <v>11819712.720000001</v>
      </c>
      <c r="D8" s="114">
        <v>2500000</v>
      </c>
      <c r="E8" s="114">
        <v>13000000</v>
      </c>
      <c r="F8" s="444">
        <v>27319712.719999999</v>
      </c>
      <c r="G8" s="114">
        <v>4945782</v>
      </c>
      <c r="H8" s="114">
        <v>22373930.719999999</v>
      </c>
      <c r="J8" s="115"/>
    </row>
    <row r="9" spans="1:11" x14ac:dyDescent="0.3">
      <c r="A9" s="21" t="s">
        <v>3529</v>
      </c>
      <c r="B9" s="443" t="s">
        <v>3530</v>
      </c>
      <c r="C9" s="114">
        <v>11665128.720000001</v>
      </c>
      <c r="D9" s="114">
        <v>650000</v>
      </c>
      <c r="E9" s="114">
        <v>6500000</v>
      </c>
      <c r="F9" s="444">
        <v>18815128.719999999</v>
      </c>
      <c r="G9" s="114">
        <v>2132908</v>
      </c>
      <c r="H9" s="114">
        <v>16682220.719999999</v>
      </c>
      <c r="J9" s="115"/>
    </row>
    <row r="10" spans="1:11" x14ac:dyDescent="0.3">
      <c r="A10" s="21" t="s">
        <v>3531</v>
      </c>
      <c r="B10" s="443" t="s">
        <v>11</v>
      </c>
      <c r="C10" s="114">
        <v>5896635.3600000003</v>
      </c>
      <c r="D10" s="114">
        <v>1500000</v>
      </c>
      <c r="E10" s="114">
        <v>6500000</v>
      </c>
      <c r="F10" s="444">
        <v>13896635.359999999</v>
      </c>
      <c r="G10" s="114">
        <v>456899</v>
      </c>
      <c r="H10" s="114">
        <v>13439736.359999999</v>
      </c>
      <c r="J10" s="115"/>
    </row>
    <row r="11" spans="1:11" x14ac:dyDescent="0.3">
      <c r="A11" s="56"/>
      <c r="B11" s="445"/>
      <c r="C11" s="446"/>
      <c r="D11" s="446"/>
      <c r="E11" s="446"/>
      <c r="F11" s="446"/>
      <c r="G11" s="446"/>
      <c r="H11" s="446"/>
      <c r="J11" s="115"/>
    </row>
    <row r="12" spans="1:11" x14ac:dyDescent="0.3">
      <c r="G12" s="446"/>
      <c r="H12" s="446"/>
      <c r="J12" s="115"/>
    </row>
    <row r="13" spans="1:11" x14ac:dyDescent="0.3">
      <c r="A13" s="21" t="s">
        <v>1027</v>
      </c>
      <c r="B13" s="447" t="s">
        <v>2673</v>
      </c>
      <c r="C13" s="114">
        <v>17819404.079999998</v>
      </c>
      <c r="D13" s="21">
        <v>0</v>
      </c>
      <c r="E13" s="21">
        <v>0</v>
      </c>
      <c r="F13" s="444">
        <v>17819404.079999998</v>
      </c>
      <c r="G13" s="673">
        <v>4569587</v>
      </c>
      <c r="H13" s="114">
        <v>13249817.079999998</v>
      </c>
      <c r="J13" s="115"/>
    </row>
    <row r="14" spans="1:11" x14ac:dyDescent="0.3">
      <c r="A14" s="448"/>
      <c r="J14" s="115"/>
    </row>
    <row r="15" spans="1:11" x14ac:dyDescent="0.3">
      <c r="A15" s="21" t="s">
        <v>3384</v>
      </c>
      <c r="B15" s="447" t="s">
        <v>3532</v>
      </c>
      <c r="C15" s="114">
        <v>6040258.3600000003</v>
      </c>
      <c r="D15" s="21">
        <v>0</v>
      </c>
      <c r="E15" s="21">
        <v>0</v>
      </c>
      <c r="F15" s="444">
        <v>6040258.3600000003</v>
      </c>
      <c r="G15" s="21">
        <v>0</v>
      </c>
      <c r="H15" s="114">
        <v>6040258.3600000003</v>
      </c>
      <c r="J15" s="115"/>
    </row>
    <row r="16" spans="1:11" ht="15.75" customHeight="1" x14ac:dyDescent="0.3"/>
    <row r="17" spans="1:1" x14ac:dyDescent="0.3">
      <c r="A17" t="s">
        <v>3533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workbookViewId="0">
      <selection activeCell="ED24" sqref="ED24"/>
    </sheetView>
  </sheetViews>
  <sheetFormatPr defaultRowHeight="15.6" x14ac:dyDescent="0.3"/>
  <cols>
    <col min="1" max="7" width="25.21875" customWidth="1"/>
  </cols>
  <sheetData>
    <row r="1" spans="1:7" ht="15.75" customHeight="1" x14ac:dyDescent="0.3">
      <c r="A1" s="408" t="s">
        <v>3534</v>
      </c>
      <c r="D1" s="408" t="s">
        <v>3535</v>
      </c>
    </row>
    <row r="3" spans="1:7" x14ac:dyDescent="0.3">
      <c r="A3" s="408" t="s">
        <v>3536</v>
      </c>
      <c r="B3" s="408" t="s">
        <v>3834</v>
      </c>
      <c r="D3" s="20" t="s">
        <v>3</v>
      </c>
      <c r="E3" s="674" t="s">
        <v>3835</v>
      </c>
      <c r="F3" s="674" t="s">
        <v>3834</v>
      </c>
      <c r="G3" s="449" t="s">
        <v>3836</v>
      </c>
    </row>
    <row r="4" spans="1:7" x14ac:dyDescent="0.3">
      <c r="A4" t="s">
        <v>4</v>
      </c>
      <c r="B4" s="115">
        <v>1285758.24</v>
      </c>
      <c r="D4" s="21" t="s">
        <v>4</v>
      </c>
      <c r="E4" s="450">
        <v>13477.44</v>
      </c>
      <c r="F4" s="450">
        <v>14152.950000000004</v>
      </c>
      <c r="G4" s="324">
        <v>5802709.5000000019</v>
      </c>
    </row>
    <row r="5" spans="1:7" ht="31.2" x14ac:dyDescent="0.3">
      <c r="A5" s="323" t="s">
        <v>3537</v>
      </c>
      <c r="B5" s="115">
        <v>46048</v>
      </c>
      <c r="D5" s="21" t="s">
        <v>10</v>
      </c>
      <c r="E5" s="450">
        <v>13161.309999999998</v>
      </c>
      <c r="F5" s="450">
        <v>14651.529999999999</v>
      </c>
      <c r="G5" s="324">
        <v>6007127.2999999998</v>
      </c>
    </row>
    <row r="6" spans="1:7" x14ac:dyDescent="0.3">
      <c r="A6" t="s">
        <v>10</v>
      </c>
      <c r="B6" s="115">
        <v>33427</v>
      </c>
      <c r="D6" s="21" t="s">
        <v>5</v>
      </c>
      <c r="E6" s="450">
        <v>53307.809999999983</v>
      </c>
      <c r="F6" s="450">
        <v>56134.489999999991</v>
      </c>
      <c r="G6" s="324">
        <v>23015140.899999995</v>
      </c>
    </row>
    <row r="7" spans="1:7" ht="31.2" x14ac:dyDescent="0.3">
      <c r="A7" t="s">
        <v>5</v>
      </c>
      <c r="B7" s="115">
        <v>1571980.8699999999</v>
      </c>
      <c r="D7" s="113" t="s">
        <v>795</v>
      </c>
      <c r="E7" s="450">
        <v>344.40999999999997</v>
      </c>
      <c r="F7" s="450">
        <v>361.20000000000005</v>
      </c>
      <c r="G7" s="324">
        <v>148092.00000000003</v>
      </c>
    </row>
    <row r="8" spans="1:7" x14ac:dyDescent="0.3">
      <c r="A8" t="s">
        <v>861</v>
      </c>
      <c r="B8" s="115">
        <v>1572332.74</v>
      </c>
      <c r="D8" s="21" t="s">
        <v>861</v>
      </c>
      <c r="E8" s="450">
        <v>12442.189999999993</v>
      </c>
      <c r="F8" s="450">
        <v>13063.050000000001</v>
      </c>
      <c r="G8" s="324">
        <v>5355850.5</v>
      </c>
    </row>
    <row r="9" spans="1:7" x14ac:dyDescent="0.3">
      <c r="A9" t="s">
        <v>790</v>
      </c>
      <c r="B9" s="115">
        <v>60667.8</v>
      </c>
      <c r="D9" s="21" t="s">
        <v>790</v>
      </c>
      <c r="E9" s="450">
        <v>938.29</v>
      </c>
      <c r="F9" s="450">
        <v>984.90000000000009</v>
      </c>
      <c r="G9" s="324">
        <v>403809.00000000006</v>
      </c>
    </row>
    <row r="10" spans="1:7" x14ac:dyDescent="0.3">
      <c r="A10" t="s">
        <v>2042</v>
      </c>
      <c r="B10" s="115">
        <v>59039.745000000003</v>
      </c>
      <c r="D10" s="21" t="s">
        <v>3267</v>
      </c>
      <c r="E10" s="450">
        <v>178.77</v>
      </c>
      <c r="F10" s="450">
        <v>187.95000000000002</v>
      </c>
      <c r="G10" s="324">
        <v>77059.5</v>
      </c>
    </row>
    <row r="11" spans="1:7" x14ac:dyDescent="0.3">
      <c r="A11" t="s">
        <v>9</v>
      </c>
      <c r="B11" s="115">
        <v>13609.365</v>
      </c>
      <c r="D11" s="21" t="s">
        <v>9</v>
      </c>
      <c r="E11" s="450">
        <v>4008.6899999999996</v>
      </c>
      <c r="F11" s="450">
        <v>4278.3600000000006</v>
      </c>
      <c r="G11" s="324">
        <v>1754127.6000000003</v>
      </c>
    </row>
    <row r="12" spans="1:7" ht="31.2" x14ac:dyDescent="0.3">
      <c r="A12" s="323" t="s">
        <v>2672</v>
      </c>
      <c r="B12" s="115">
        <v>227846.15999999997</v>
      </c>
      <c r="D12" s="21" t="s">
        <v>803</v>
      </c>
      <c r="E12" s="450">
        <v>760.53</v>
      </c>
      <c r="F12" s="450">
        <v>799.05</v>
      </c>
      <c r="G12" s="324">
        <v>327610.5</v>
      </c>
    </row>
    <row r="13" spans="1:7" ht="31.2" x14ac:dyDescent="0.3">
      <c r="A13" s="323" t="s">
        <v>3538</v>
      </c>
      <c r="B13" s="115">
        <v>62515.78</v>
      </c>
      <c r="D13" s="113" t="s">
        <v>1531</v>
      </c>
      <c r="E13" s="450">
        <v>351.48</v>
      </c>
      <c r="F13" s="450">
        <v>445.77</v>
      </c>
      <c r="G13" s="324">
        <v>182765.69999999998</v>
      </c>
    </row>
    <row r="14" spans="1:7" x14ac:dyDescent="0.3">
      <c r="A14" t="s">
        <v>803</v>
      </c>
      <c r="B14" s="115">
        <v>34581.540000000008</v>
      </c>
      <c r="D14" s="21" t="s">
        <v>7</v>
      </c>
      <c r="E14" s="450">
        <v>4833.8599999999997</v>
      </c>
      <c r="F14" s="450">
        <v>5346.0800000000008</v>
      </c>
      <c r="G14" s="324">
        <v>2191892.8000000003</v>
      </c>
    </row>
    <row r="15" spans="1:7" x14ac:dyDescent="0.3">
      <c r="A15" t="s">
        <v>3539</v>
      </c>
      <c r="B15" s="115">
        <v>217928.65499999997</v>
      </c>
      <c r="D15" s="21" t="s">
        <v>11</v>
      </c>
      <c r="E15" s="450">
        <v>251.49</v>
      </c>
      <c r="F15" s="450">
        <v>263.55</v>
      </c>
      <c r="G15" s="324">
        <v>108055.5</v>
      </c>
    </row>
    <row r="16" spans="1:7" x14ac:dyDescent="0.3">
      <c r="A16" t="s">
        <v>3540</v>
      </c>
      <c r="B16" s="115">
        <v>111226.815</v>
      </c>
      <c r="D16" s="21" t="s">
        <v>8</v>
      </c>
      <c r="E16" s="450">
        <v>6390.27</v>
      </c>
      <c r="F16" s="450">
        <v>7783.5400000000009</v>
      </c>
      <c r="G16" s="324">
        <v>3191251.4000000004</v>
      </c>
    </row>
    <row r="17" spans="1:7" x14ac:dyDescent="0.3">
      <c r="A17" t="s">
        <v>857</v>
      </c>
      <c r="B17" s="115">
        <v>22735.75</v>
      </c>
      <c r="D17" s="82" t="s">
        <v>2621</v>
      </c>
      <c r="E17" s="451">
        <v>110446.53999999998</v>
      </c>
      <c r="F17" s="451">
        <v>118452.42000000001</v>
      </c>
      <c r="G17" s="324">
        <v>48565492.200000003</v>
      </c>
    </row>
    <row r="18" spans="1:7" ht="31.2" x14ac:dyDescent="0.3">
      <c r="A18" s="323" t="s">
        <v>2131</v>
      </c>
      <c r="B18" s="115">
        <v>80791.959999999992</v>
      </c>
    </row>
    <row r="19" spans="1:7" x14ac:dyDescent="0.3">
      <c r="A19" t="s">
        <v>6</v>
      </c>
      <c r="B19" s="115">
        <v>175632.06000000003</v>
      </c>
      <c r="D19" t="s">
        <v>3541</v>
      </c>
    </row>
    <row r="20" spans="1:7" ht="31.2" x14ac:dyDescent="0.3">
      <c r="A20" s="323" t="s">
        <v>3542</v>
      </c>
      <c r="B20" s="115">
        <v>193769.315</v>
      </c>
    </row>
    <row r="21" spans="1:7" ht="31.2" x14ac:dyDescent="0.3">
      <c r="A21" s="323" t="s">
        <v>2671</v>
      </c>
      <c r="B21" s="115">
        <v>595342.45500000007</v>
      </c>
    </row>
    <row r="22" spans="1:7" ht="31.2" x14ac:dyDescent="0.3">
      <c r="A22" s="323" t="s">
        <v>3543</v>
      </c>
      <c r="B22" s="115">
        <v>65414.51</v>
      </c>
    </row>
    <row r="23" spans="1:7" x14ac:dyDescent="0.3">
      <c r="A23" s="323" t="s">
        <v>7</v>
      </c>
      <c r="B23" s="115">
        <v>224965.21000000002</v>
      </c>
    </row>
    <row r="24" spans="1:7" x14ac:dyDescent="0.3">
      <c r="A24" s="323" t="s">
        <v>11</v>
      </c>
      <c r="B24" s="115">
        <v>131057.755</v>
      </c>
    </row>
    <row r="25" spans="1:7" x14ac:dyDescent="0.3">
      <c r="A25" s="323" t="s">
        <v>8</v>
      </c>
      <c r="B25" s="115">
        <v>42934.500000000007</v>
      </c>
    </row>
    <row r="26" spans="1:7" x14ac:dyDescent="0.3">
      <c r="A26" s="452" t="s">
        <v>2621</v>
      </c>
      <c r="B26" s="453">
        <v>6829606.2250000006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5"/>
  <sheetViews>
    <sheetView workbookViewId="0">
      <selection activeCell="ED24" sqref="ED24"/>
    </sheetView>
  </sheetViews>
  <sheetFormatPr defaultRowHeight="15.6" x14ac:dyDescent="0.3"/>
  <cols>
    <col min="1" max="1" width="32.21875" style="454" customWidth="1"/>
    <col min="2" max="4" width="14.88671875" style="454" bestFit="1" customWidth="1"/>
    <col min="5" max="5" width="11.77734375" style="454" bestFit="1" customWidth="1"/>
    <col min="6" max="8" width="14.88671875" style="454" bestFit="1" customWidth="1"/>
    <col min="9" max="9" width="13.77734375" style="454" bestFit="1" customWidth="1"/>
    <col min="10" max="11" width="16.21875" style="454" bestFit="1" customWidth="1"/>
    <col min="12" max="12" width="8.109375" style="454" bestFit="1" customWidth="1"/>
    <col min="13" max="13" width="16.21875" style="454" bestFit="1" customWidth="1"/>
    <col min="14" max="20" width="6.44140625" style="454"/>
    <col min="21" max="27" width="8.88671875" style="454"/>
  </cols>
  <sheetData>
    <row r="1" spans="1:27" ht="40.200000000000003" customHeight="1" x14ac:dyDescent="0.3"/>
    <row r="2" spans="1:27" ht="16.2" thickBot="1" x14ac:dyDescent="0.35">
      <c r="B2" s="454" t="s">
        <v>2606</v>
      </c>
      <c r="C2" s="454" t="s">
        <v>10</v>
      </c>
      <c r="D2" s="454" t="s">
        <v>5</v>
      </c>
      <c r="E2" s="454" t="s">
        <v>3267</v>
      </c>
      <c r="F2" s="454" t="s">
        <v>9</v>
      </c>
      <c r="G2" s="454" t="s">
        <v>6</v>
      </c>
      <c r="H2" s="454" t="s">
        <v>2607</v>
      </c>
      <c r="I2" s="454" t="s">
        <v>11</v>
      </c>
      <c r="J2" s="454" t="s">
        <v>8</v>
      </c>
      <c r="K2" s="454" t="s">
        <v>3837</v>
      </c>
    </row>
    <row r="3" spans="1:27" ht="18" thickBot="1" x14ac:dyDescent="0.35">
      <c r="A3" s="675" t="s">
        <v>3838</v>
      </c>
      <c r="B3" s="676">
        <v>13878617.121783666</v>
      </c>
      <c r="C3" s="677">
        <v>10497200.775533985</v>
      </c>
      <c r="D3" s="677">
        <v>55067311.015857302</v>
      </c>
      <c r="E3" s="677">
        <v>710488.86105692061</v>
      </c>
      <c r="F3" s="677">
        <v>37734427.739745595</v>
      </c>
      <c r="G3" s="677">
        <v>37893456.366867326</v>
      </c>
      <c r="H3" s="677">
        <v>13971459.466205053</v>
      </c>
      <c r="I3" s="677">
        <v>2163658.2429501317</v>
      </c>
      <c r="J3" s="677">
        <v>176445011.60000002</v>
      </c>
      <c r="K3" s="678">
        <v>413392539.99000001</v>
      </c>
      <c r="L3" s="679"/>
      <c r="M3" s="679"/>
      <c r="N3" s="679"/>
      <c r="O3" s="679"/>
      <c r="P3" s="679"/>
      <c r="Q3" s="679"/>
      <c r="R3" s="679"/>
      <c r="S3" s="702"/>
      <c r="T3" s="703"/>
      <c r="U3" s="703"/>
      <c r="V3" s="703"/>
      <c r="W3" s="703"/>
      <c r="X3" s="703"/>
      <c r="Y3" s="703"/>
      <c r="Z3" s="703"/>
      <c r="AA3" s="703"/>
    </row>
    <row r="4" spans="1:27" ht="16.2" thickBot="1" x14ac:dyDescent="0.35">
      <c r="A4" s="680" t="s">
        <v>3839</v>
      </c>
      <c r="B4" s="681">
        <v>11878617.121783666</v>
      </c>
      <c r="C4" s="682">
        <v>8497200.7755339853</v>
      </c>
      <c r="D4" s="682">
        <v>45667311.015857302</v>
      </c>
      <c r="E4" s="682">
        <v>710488.86105692061</v>
      </c>
      <c r="F4" s="682">
        <v>19693854.739745595</v>
      </c>
      <c r="G4" s="682">
        <v>31893456.366867326</v>
      </c>
      <c r="H4" s="682">
        <v>7471459.466205054</v>
      </c>
      <c r="I4" s="682">
        <v>2163658.2429501317</v>
      </c>
      <c r="J4" s="682">
        <v>102495356.60000001</v>
      </c>
      <c r="K4" s="683">
        <v>295502311.99000001</v>
      </c>
      <c r="L4" s="679"/>
      <c r="M4" s="679"/>
      <c r="N4" s="679"/>
      <c r="O4" s="679"/>
      <c r="P4" s="679"/>
      <c r="Q4" s="679"/>
      <c r="R4" s="679"/>
      <c r="S4" s="702"/>
      <c r="T4" s="703"/>
      <c r="U4" s="703"/>
      <c r="V4" s="703"/>
      <c r="W4" s="703"/>
      <c r="X4" s="703"/>
      <c r="Y4" s="703"/>
      <c r="Z4" s="703"/>
      <c r="AA4" s="703"/>
    </row>
    <row r="5" spans="1:27" ht="26.4" x14ac:dyDescent="0.3">
      <c r="A5" s="684" t="s">
        <v>3840</v>
      </c>
      <c r="B5" s="685"/>
      <c r="C5" s="686"/>
      <c r="D5" s="686"/>
      <c r="E5" s="686"/>
      <c r="F5" s="686"/>
      <c r="G5" s="686"/>
      <c r="H5" s="686"/>
      <c r="I5" s="686"/>
      <c r="J5" s="686"/>
      <c r="K5" s="687">
        <v>65030908.800000004</v>
      </c>
      <c r="L5" s="679"/>
      <c r="M5" s="679"/>
      <c r="N5" s="679"/>
      <c r="O5" s="679"/>
      <c r="P5" s="679"/>
      <c r="Q5" s="679"/>
      <c r="R5" s="679"/>
      <c r="S5" s="702"/>
      <c r="T5" s="703"/>
      <c r="U5" s="703"/>
      <c r="V5" s="703"/>
      <c r="W5" s="703"/>
      <c r="X5" s="703"/>
      <c r="Y5" s="703"/>
      <c r="Z5" s="703"/>
      <c r="AA5" s="703"/>
    </row>
    <row r="6" spans="1:27" ht="26.4" x14ac:dyDescent="0.3">
      <c r="A6" s="688" t="s">
        <v>3841</v>
      </c>
      <c r="B6" s="689">
        <v>7940323.4110457888</v>
      </c>
      <c r="C6" s="690">
        <v>2859632.3820768069</v>
      </c>
      <c r="D6" s="691">
        <v>38150130.868530363</v>
      </c>
      <c r="E6" s="691">
        <v>1565435.6129526151</v>
      </c>
      <c r="F6" s="691">
        <v>8315717.9709043279</v>
      </c>
      <c r="G6" s="691">
        <v>14989433.478083901</v>
      </c>
      <c r="H6" s="691">
        <v>5770722.6476684911</v>
      </c>
      <c r="I6" s="691">
        <v>2293905.650663238</v>
      </c>
      <c r="J6" s="691">
        <v>33114697.978074469</v>
      </c>
      <c r="K6" s="692">
        <v>115000000</v>
      </c>
      <c r="L6" s="693"/>
      <c r="M6" s="693"/>
      <c r="N6" s="704"/>
      <c r="O6" s="704"/>
      <c r="P6" s="704"/>
      <c r="Q6" s="704"/>
      <c r="R6" s="704"/>
      <c r="S6" s="704"/>
      <c r="T6" s="704"/>
      <c r="U6" s="704"/>
      <c r="V6" s="704"/>
      <c r="W6" s="704"/>
      <c r="X6" s="704"/>
      <c r="Y6" s="704"/>
      <c r="Z6" s="704"/>
      <c r="AA6" s="704"/>
    </row>
    <row r="7" spans="1:27" x14ac:dyDescent="0.3">
      <c r="A7" s="688" t="s">
        <v>3842</v>
      </c>
      <c r="B7" s="689">
        <v>2510490.5986721842</v>
      </c>
      <c r="C7" s="691">
        <v>2966229.1170193017</v>
      </c>
      <c r="D7" s="691">
        <v>2579230.6840466335</v>
      </c>
      <c r="E7" s="691">
        <v>-873387.18242415483</v>
      </c>
      <c r="F7" s="691">
        <v>3690824.2534945682</v>
      </c>
      <c r="G7" s="691">
        <v>2901571.8630757257</v>
      </c>
      <c r="H7" s="691">
        <v>1337338.6643018527</v>
      </c>
      <c r="I7" s="691">
        <v>-382223.50011165906</v>
      </c>
      <c r="J7" s="691">
        <v>-228.77807446569204</v>
      </c>
      <c r="K7" s="692">
        <v>14729845.719999988</v>
      </c>
      <c r="L7" s="693"/>
      <c r="M7" s="693"/>
      <c r="N7" s="704"/>
      <c r="O7" s="704"/>
      <c r="P7" s="704"/>
      <c r="Q7" s="704"/>
      <c r="R7" s="704"/>
      <c r="S7" s="704"/>
      <c r="T7" s="704"/>
      <c r="U7" s="704"/>
      <c r="V7" s="704"/>
      <c r="W7" s="704"/>
      <c r="X7" s="704"/>
      <c r="Y7" s="704"/>
      <c r="Z7" s="704"/>
      <c r="AA7" s="704"/>
    </row>
    <row r="8" spans="1:27" ht="16.2" thickBot="1" x14ac:dyDescent="0.35">
      <c r="A8" s="694" t="s">
        <v>3843</v>
      </c>
      <c r="B8" s="695">
        <v>1427803.1120656941</v>
      </c>
      <c r="C8" s="696">
        <v>2671339.2764378772</v>
      </c>
      <c r="D8" s="696">
        <v>4937949.4632803034</v>
      </c>
      <c r="E8" s="696">
        <v>18440.430528460256</v>
      </c>
      <c r="F8" s="696">
        <v>7687312.5153467003</v>
      </c>
      <c r="G8" s="696">
        <v>14002451.025707699</v>
      </c>
      <c r="H8" s="696">
        <v>363398.15423471003</v>
      </c>
      <c r="I8" s="696">
        <v>251976.09239855272</v>
      </c>
      <c r="J8" s="696">
        <v>69380887.400000006</v>
      </c>
      <c r="K8" s="697">
        <v>100741557.47</v>
      </c>
      <c r="L8" s="693"/>
      <c r="M8" s="693"/>
      <c r="N8" s="704"/>
      <c r="O8" s="704"/>
      <c r="P8" s="704"/>
      <c r="Q8" s="704"/>
      <c r="R8" s="704"/>
      <c r="S8" s="704"/>
      <c r="T8" s="704"/>
      <c r="U8" s="704"/>
      <c r="V8" s="704"/>
      <c r="W8" s="704"/>
      <c r="X8" s="704"/>
      <c r="Y8" s="704"/>
      <c r="Z8" s="704"/>
      <c r="AA8" s="704"/>
    </row>
    <row r="9" spans="1:27" ht="16.2" thickBot="1" x14ac:dyDescent="0.35">
      <c r="A9" s="698" t="s">
        <v>3844</v>
      </c>
      <c r="B9" s="681">
        <v>2000000</v>
      </c>
      <c r="C9" s="699">
        <v>2000000</v>
      </c>
      <c r="D9" s="682">
        <v>9400000</v>
      </c>
      <c r="E9" s="682">
        <v>0</v>
      </c>
      <c r="F9" s="682">
        <v>18040573</v>
      </c>
      <c r="G9" s="682">
        <v>6000000</v>
      </c>
      <c r="H9" s="682">
        <v>6500000</v>
      </c>
      <c r="I9" s="682">
        <v>0</v>
      </c>
      <c r="J9" s="682">
        <v>73949655</v>
      </c>
      <c r="K9" s="683">
        <v>117890228</v>
      </c>
      <c r="L9" s="693"/>
      <c r="M9" s="693"/>
      <c r="N9" s="704"/>
      <c r="O9" s="704"/>
      <c r="P9" s="704"/>
      <c r="Q9" s="704"/>
      <c r="R9" s="704"/>
      <c r="S9" s="704"/>
      <c r="T9" s="704"/>
      <c r="U9" s="704"/>
      <c r="V9" s="704"/>
      <c r="W9" s="704"/>
      <c r="X9" s="704"/>
      <c r="Y9" s="704"/>
      <c r="Z9" s="704"/>
      <c r="AA9" s="704"/>
    </row>
    <row r="12" spans="1:27" ht="16.2" thickBot="1" x14ac:dyDescent="0.35"/>
    <row r="13" spans="1:27" ht="16.2" thickBot="1" x14ac:dyDescent="0.35">
      <c r="L13" s="455" t="s">
        <v>3544</v>
      </c>
      <c r="M13" s="700"/>
    </row>
    <row r="14" spans="1:27" ht="18" thickBot="1" x14ac:dyDescent="0.35">
      <c r="L14" s="456" t="s">
        <v>3545</v>
      </c>
      <c r="M14" s="676">
        <v>13878617.121783666</v>
      </c>
    </row>
    <row r="15" spans="1:27" ht="18" thickBot="1" x14ac:dyDescent="0.35">
      <c r="L15" s="456" t="s">
        <v>10</v>
      </c>
      <c r="M15" s="677">
        <v>10497200.775533985</v>
      </c>
    </row>
    <row r="16" spans="1:27" ht="18" thickBot="1" x14ac:dyDescent="0.35">
      <c r="L16" s="456" t="s">
        <v>5</v>
      </c>
      <c r="M16" s="677">
        <v>55067311.015857302</v>
      </c>
    </row>
    <row r="17" spans="12:15" ht="18" thickBot="1" x14ac:dyDescent="0.35">
      <c r="L17" s="456" t="s">
        <v>3267</v>
      </c>
      <c r="M17" s="677">
        <v>710488.86105692061</v>
      </c>
    </row>
    <row r="18" spans="12:15" ht="18" thickBot="1" x14ac:dyDescent="0.35">
      <c r="L18" s="456" t="s">
        <v>9</v>
      </c>
      <c r="M18" s="677">
        <v>37734427.739745595</v>
      </c>
    </row>
    <row r="19" spans="12:15" ht="18" thickBot="1" x14ac:dyDescent="0.35">
      <c r="L19" s="456" t="s">
        <v>6</v>
      </c>
      <c r="M19" s="677">
        <v>37893456.366867326</v>
      </c>
    </row>
    <row r="20" spans="12:15" ht="18" thickBot="1" x14ac:dyDescent="0.35">
      <c r="L20" s="456" t="s">
        <v>11</v>
      </c>
      <c r="M20" s="677">
        <v>2163658.2429501317</v>
      </c>
    </row>
    <row r="21" spans="12:15" ht="18" thickBot="1" x14ac:dyDescent="0.35">
      <c r="L21" s="456" t="s">
        <v>2607</v>
      </c>
      <c r="M21" s="677">
        <v>13971459.466205053</v>
      </c>
      <c r="N21" s="701"/>
      <c r="O21" s="458"/>
    </row>
    <row r="22" spans="12:15" ht="18" thickBot="1" x14ac:dyDescent="0.35">
      <c r="L22" s="457" t="s">
        <v>8</v>
      </c>
      <c r="M22" s="677">
        <v>176445011.60000002</v>
      </c>
    </row>
    <row r="23" spans="12:15" x14ac:dyDescent="0.3">
      <c r="M23" s="459"/>
    </row>
    <row r="24" spans="12:15" x14ac:dyDescent="0.3">
      <c r="M24" s="701"/>
    </row>
    <row r="25" spans="12:15" x14ac:dyDescent="0.3">
      <c r="M25" s="459"/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1"/>
  <sheetViews>
    <sheetView topLeftCell="A16" workbookViewId="0">
      <selection activeCell="ED24" sqref="ED24"/>
    </sheetView>
  </sheetViews>
  <sheetFormatPr defaultRowHeight="15.6" x14ac:dyDescent="0.3"/>
  <cols>
    <col min="1" max="1" width="10.109375" customWidth="1"/>
    <col min="2" max="2" width="9.44140625" customWidth="1"/>
    <col min="3" max="3" width="14.109375" customWidth="1"/>
    <col min="4" max="4" width="10.77734375" bestFit="1" customWidth="1"/>
    <col min="5" max="5" width="16" bestFit="1" customWidth="1"/>
    <col min="6" max="6" width="16.109375" bestFit="1" customWidth="1"/>
    <col min="7" max="7" width="17.33203125" bestFit="1" customWidth="1"/>
    <col min="8" max="8" width="17.88671875" bestFit="1" customWidth="1"/>
    <col min="9" max="9" width="14.21875" customWidth="1"/>
    <col min="10" max="10" width="13.44140625" customWidth="1"/>
    <col min="11" max="11" width="21.21875" customWidth="1"/>
    <col min="12" max="12" width="12.88671875" bestFit="1" customWidth="1"/>
  </cols>
  <sheetData>
    <row r="1" spans="1:11" ht="21" x14ac:dyDescent="0.4">
      <c r="A1" s="18" t="s">
        <v>3546</v>
      </c>
    </row>
    <row r="3" spans="1:11" x14ac:dyDescent="0.3">
      <c r="A3" s="85">
        <v>1700000000</v>
      </c>
      <c r="B3" s="1208" t="s">
        <v>3547</v>
      </c>
      <c r="C3" s="1212"/>
      <c r="D3" s="1212"/>
      <c r="E3" s="1212"/>
      <c r="F3" s="1212"/>
      <c r="G3" s="1212"/>
      <c r="H3" s="1209"/>
    </row>
    <row r="4" spans="1:11" ht="28.8" x14ac:dyDescent="0.3">
      <c r="B4" s="19" t="s">
        <v>752</v>
      </c>
      <c r="C4" s="19" t="s">
        <v>2596</v>
      </c>
      <c r="D4" s="19" t="s">
        <v>2597</v>
      </c>
      <c r="E4" s="19" t="s">
        <v>2598</v>
      </c>
      <c r="F4" s="19" t="s">
        <v>2599</v>
      </c>
      <c r="G4" s="19" t="s">
        <v>2600</v>
      </c>
      <c r="H4" s="19" t="s">
        <v>2601</v>
      </c>
      <c r="I4" s="19" t="s">
        <v>3548</v>
      </c>
    </row>
    <row r="5" spans="1:11" x14ac:dyDescent="0.3">
      <c r="A5" s="15" t="s">
        <v>2603</v>
      </c>
      <c r="B5" s="79" t="s">
        <v>5</v>
      </c>
      <c r="C5" s="80">
        <v>0.18073034243398439</v>
      </c>
      <c r="D5" s="81">
        <f>+D$8*$C5</f>
        <v>61448316.427554697</v>
      </c>
      <c r="E5" s="81">
        <f t="shared" ref="E5:H5" si="0">+E$8*$C5</f>
        <v>29187950.303088479</v>
      </c>
      <c r="F5" s="81">
        <f t="shared" si="0"/>
        <v>7681039.5534443371</v>
      </c>
      <c r="G5" s="81">
        <f t="shared" si="0"/>
        <v>768103.95534443366</v>
      </c>
      <c r="H5" s="81">
        <f t="shared" si="0"/>
        <v>23811222.615677442</v>
      </c>
      <c r="I5" s="81">
        <f>+D5/0.4</f>
        <v>153620791.06888673</v>
      </c>
    </row>
    <row r="6" spans="1:11" x14ac:dyDescent="0.3">
      <c r="A6" s="15" t="s">
        <v>2604</v>
      </c>
      <c r="B6" s="79" t="s">
        <v>8</v>
      </c>
      <c r="C6" s="80">
        <v>0.55274526615688058</v>
      </c>
      <c r="D6" s="81">
        <f t="shared" ref="D6:H7" si="1">+D$8*$C6</f>
        <v>187933390.49333939</v>
      </c>
      <c r="E6" s="81">
        <f t="shared" si="1"/>
        <v>89268360.484336212</v>
      </c>
      <c r="F6" s="81">
        <f t="shared" si="1"/>
        <v>23491673.811667424</v>
      </c>
      <c r="G6" s="81">
        <f t="shared" si="1"/>
        <v>2349167.3811667426</v>
      </c>
      <c r="H6" s="81">
        <f t="shared" si="1"/>
        <v>72824188.816169009</v>
      </c>
      <c r="I6" s="81">
        <f t="shared" ref="I6:I8" si="2">+D6/0.4</f>
        <v>469833476.23334843</v>
      </c>
    </row>
    <row r="7" spans="1:11" x14ac:dyDescent="0.3">
      <c r="A7" s="15" t="s">
        <v>2605</v>
      </c>
      <c r="B7" s="79" t="s">
        <v>9</v>
      </c>
      <c r="C7" s="80">
        <v>0.26652439140913498</v>
      </c>
      <c r="D7" s="81">
        <f t="shared" si="1"/>
        <v>90618293.079105899</v>
      </c>
      <c r="E7" s="81">
        <f t="shared" si="1"/>
        <v>43043689.212575302</v>
      </c>
      <c r="F7" s="81">
        <f t="shared" si="1"/>
        <v>11327286.634888237</v>
      </c>
      <c r="G7" s="81">
        <f t="shared" si="1"/>
        <v>1132728.6634888237</v>
      </c>
      <c r="H7" s="81">
        <f t="shared" si="1"/>
        <v>35114588.56815353</v>
      </c>
      <c r="I7" s="81">
        <f t="shared" si="2"/>
        <v>226545732.69776472</v>
      </c>
    </row>
    <row r="8" spans="1:11" x14ac:dyDescent="0.3">
      <c r="A8" s="15"/>
      <c r="B8" s="82" t="s">
        <v>2602</v>
      </c>
      <c r="C8" s="83">
        <v>0.99999999999999989</v>
      </c>
      <c r="D8" s="84">
        <f>+$A$3*0.4/2</f>
        <v>340000000</v>
      </c>
      <c r="E8" s="84">
        <f>+$A$3*0.19/2</f>
        <v>161500000</v>
      </c>
      <c r="F8" s="84">
        <f>+$A$3*0.05/2</f>
        <v>42500000</v>
      </c>
      <c r="G8" s="84">
        <f>+$A$3*0.005/2</f>
        <v>4250000</v>
      </c>
      <c r="H8" s="84">
        <f>+$A$3*0.155/2</f>
        <v>131750000</v>
      </c>
      <c r="I8" s="81">
        <f t="shared" si="2"/>
        <v>850000000</v>
      </c>
    </row>
    <row r="9" spans="1:11" x14ac:dyDescent="0.3">
      <c r="I9" s="460"/>
    </row>
    <row r="10" spans="1:11" x14ac:dyDescent="0.3">
      <c r="I10" s="460"/>
    </row>
    <row r="11" spans="1:11" x14ac:dyDescent="0.3">
      <c r="B11" s="1208" t="s">
        <v>3549</v>
      </c>
      <c r="C11" s="1212"/>
      <c r="D11" s="1212"/>
      <c r="E11" s="1212"/>
      <c r="F11" s="1212"/>
      <c r="G11" s="1212"/>
      <c r="H11" s="1209"/>
      <c r="I11" s="460"/>
    </row>
    <row r="12" spans="1:11" ht="72" x14ac:dyDescent="0.3">
      <c r="B12" s="19" t="s">
        <v>752</v>
      </c>
      <c r="C12" s="1208" t="s">
        <v>2597</v>
      </c>
      <c r="D12" s="1209"/>
      <c r="E12" s="19" t="s">
        <v>2598</v>
      </c>
      <c r="F12" s="19"/>
      <c r="G12" s="19"/>
      <c r="H12" s="19" t="s">
        <v>3550</v>
      </c>
      <c r="I12" s="461" t="s">
        <v>3548</v>
      </c>
      <c r="J12" s="462"/>
      <c r="K12" s="19" t="s">
        <v>3551</v>
      </c>
    </row>
    <row r="13" spans="1:11" x14ac:dyDescent="0.3">
      <c r="A13" s="15" t="s">
        <v>3552</v>
      </c>
      <c r="B13" s="79" t="s">
        <v>8</v>
      </c>
      <c r="C13" s="1213">
        <f>(250000000+916666667-I14)*0.4</f>
        <v>270765043.60000002</v>
      </c>
      <c r="D13" s="1213"/>
      <c r="E13" s="81">
        <f>+C13/0.4*0.19</f>
        <v>128613395.71000001</v>
      </c>
      <c r="F13" s="81"/>
      <c r="G13" s="81"/>
      <c r="H13" s="81">
        <f>+C13-E13-F13-G13</f>
        <v>142151647.89000002</v>
      </c>
      <c r="I13" s="81">
        <f>+C13/0.4</f>
        <v>676912609</v>
      </c>
      <c r="J13" s="463" t="s">
        <v>3553</v>
      </c>
      <c r="K13" s="81">
        <f>-I13*0.03</f>
        <v>-20307378.27</v>
      </c>
    </row>
    <row r="14" spans="1:11" ht="14.4" customHeight="1" x14ac:dyDescent="0.3">
      <c r="A14" s="15" t="s">
        <v>3552</v>
      </c>
      <c r="B14" s="79" t="s">
        <v>8</v>
      </c>
      <c r="C14" s="1213">
        <f>(I14)*0.4</f>
        <v>195901623.20000002</v>
      </c>
      <c r="D14" s="1213"/>
      <c r="E14" s="81">
        <f>+I14*0.19</f>
        <v>93053271.019999996</v>
      </c>
      <c r="F14" s="81"/>
      <c r="G14" s="81"/>
      <c r="H14" s="81">
        <f>+C14-E14-F14-G14</f>
        <v>102848352.18000002</v>
      </c>
      <c r="I14" s="81">
        <v>489754058</v>
      </c>
      <c r="J14" s="464" t="s">
        <v>3554</v>
      </c>
      <c r="K14" s="81">
        <f>-I14*0.03</f>
        <v>-14692621.74</v>
      </c>
    </row>
    <row r="15" spans="1:11" x14ac:dyDescent="0.3">
      <c r="G15" s="2"/>
      <c r="H15" s="2"/>
      <c r="I15" s="460"/>
      <c r="K15">
        <f t="shared" ref="K15:K16" si="3">+I15*0.03</f>
        <v>0</v>
      </c>
    </row>
    <row r="16" spans="1:11" x14ac:dyDescent="0.3">
      <c r="B16" s="1208" t="s">
        <v>3555</v>
      </c>
      <c r="C16" s="1212"/>
      <c r="D16" s="1212"/>
      <c r="E16" s="1212"/>
      <c r="F16" s="1212"/>
      <c r="G16" s="1212"/>
      <c r="H16" s="1209"/>
      <c r="I16" s="460"/>
      <c r="K16">
        <f t="shared" si="3"/>
        <v>0</v>
      </c>
    </row>
    <row r="17" spans="1:13" ht="72" x14ac:dyDescent="0.3">
      <c r="B17" s="19" t="s">
        <v>752</v>
      </c>
      <c r="C17" s="1208" t="s">
        <v>2597</v>
      </c>
      <c r="D17" s="1209"/>
      <c r="E17" s="19" t="s">
        <v>2598</v>
      </c>
      <c r="F17" s="19"/>
      <c r="G17" s="19"/>
      <c r="H17" s="19" t="s">
        <v>3550</v>
      </c>
      <c r="I17" s="19" t="s">
        <v>3548</v>
      </c>
      <c r="K17" s="19" t="s">
        <v>3551</v>
      </c>
    </row>
    <row r="18" spans="1:13" x14ac:dyDescent="0.3">
      <c r="A18" s="15" t="s">
        <v>3552</v>
      </c>
      <c r="B18" s="79" t="s">
        <v>8</v>
      </c>
      <c r="C18" s="1210">
        <v>8309333</v>
      </c>
      <c r="D18" s="1211"/>
      <c r="E18" s="81">
        <f>+C18/0.4*0.19</f>
        <v>3946933.1749999998</v>
      </c>
      <c r="F18" s="81"/>
      <c r="G18" s="81"/>
      <c r="H18" s="81">
        <f>+C18-E18-F18-G18</f>
        <v>4362399.8250000002</v>
      </c>
      <c r="I18" s="81">
        <f t="shared" ref="I18:I20" si="4">+C18/0.4</f>
        <v>20773332.5</v>
      </c>
      <c r="K18" s="81">
        <f>-I18*0.03</f>
        <v>-623199.97499999998</v>
      </c>
    </row>
    <row r="19" spans="1:13" x14ac:dyDescent="0.3">
      <c r="A19" t="s">
        <v>3556</v>
      </c>
      <c r="B19" s="79" t="s">
        <v>9</v>
      </c>
      <c r="C19" s="1210">
        <v>77415333</v>
      </c>
      <c r="D19" s="1211"/>
      <c r="E19" s="81">
        <f>+C19/0.4*0.19</f>
        <v>36772283.174999997</v>
      </c>
      <c r="F19" s="81"/>
      <c r="G19" s="81"/>
      <c r="H19" s="81">
        <f>+C19-E19-F19-G19</f>
        <v>40643049.825000003</v>
      </c>
      <c r="I19" s="81">
        <f t="shared" si="4"/>
        <v>193538332.5</v>
      </c>
      <c r="K19" s="81">
        <f t="shared" ref="K19:K20" si="5">-I19*0.03</f>
        <v>-5806149.9749999996</v>
      </c>
    </row>
    <row r="20" spans="1:13" x14ac:dyDescent="0.3">
      <c r="A20" t="s">
        <v>3557</v>
      </c>
      <c r="B20" s="79" t="s">
        <v>4</v>
      </c>
      <c r="C20" s="1210">
        <v>9341333</v>
      </c>
      <c r="D20" s="1211"/>
      <c r="E20" s="81">
        <f>+C20/0.4*0.19</f>
        <v>4437133.1749999998</v>
      </c>
      <c r="F20" s="81"/>
      <c r="G20" s="81"/>
      <c r="H20" s="81">
        <f>+C20-E20-F20-G20</f>
        <v>4904199.8250000002</v>
      </c>
      <c r="I20" s="81">
        <f t="shared" si="4"/>
        <v>23353332.5</v>
      </c>
      <c r="K20" s="81">
        <f t="shared" si="5"/>
        <v>-700599.97499999998</v>
      </c>
    </row>
    <row r="21" spans="1:13" x14ac:dyDescent="0.3">
      <c r="B21" s="301"/>
      <c r="C21" s="465"/>
      <c r="D21" s="465"/>
      <c r="E21" s="466"/>
      <c r="F21" s="466"/>
      <c r="G21" s="466"/>
      <c r="H21" s="466"/>
      <c r="K21" s="2">
        <f>SUM(H18:H20)+SUM(K18:K20)</f>
        <v>42779699.550000012</v>
      </c>
    </row>
    <row r="22" spans="1:13" ht="15.6" customHeight="1" x14ac:dyDescent="0.3">
      <c r="A22" s="408" t="s">
        <v>2917</v>
      </c>
      <c r="B22" s="467"/>
      <c r="C22" s="1207">
        <f>+D8+C13+C14+C18+C19+C20</f>
        <v>901732665.80000007</v>
      </c>
      <c r="D22" s="1207"/>
      <c r="E22" s="23">
        <f>+E8+E13+E18+E19+E20+E14</f>
        <v>428323016.25500005</v>
      </c>
      <c r="F22" s="23">
        <f t="shared" ref="F22" si="6">+F8+F13+F18+F19+F20+F14</f>
        <v>42500000</v>
      </c>
      <c r="G22" s="23">
        <f>+G8+G13+G18+G19+G20+G14</f>
        <v>4250000</v>
      </c>
      <c r="H22" s="23">
        <f>+H8+H13+H18+H19+H20+H14</f>
        <v>426659649.54499996</v>
      </c>
      <c r="I22" s="23">
        <f>+I8+I13+I18+I19+I20+I14</f>
        <v>2254331664.5</v>
      </c>
      <c r="J22" s="2"/>
      <c r="K22" s="2"/>
      <c r="L22" s="302"/>
    </row>
    <row r="23" spans="1:13" x14ac:dyDescent="0.3">
      <c r="A23" s="408" t="s">
        <v>3558</v>
      </c>
      <c r="B23" s="467"/>
      <c r="C23" s="1207">
        <f>+D8</f>
        <v>340000000</v>
      </c>
      <c r="D23" s="1207"/>
      <c r="E23" s="23">
        <f>+E8</f>
        <v>161500000</v>
      </c>
      <c r="F23" s="23">
        <f t="shared" ref="F23:I23" si="7">+F8</f>
        <v>42500000</v>
      </c>
      <c r="G23" s="23">
        <f t="shared" si="7"/>
        <v>4250000</v>
      </c>
      <c r="H23" s="23">
        <f t="shared" si="7"/>
        <v>131750000</v>
      </c>
      <c r="I23" s="23">
        <f t="shared" si="7"/>
        <v>850000000</v>
      </c>
      <c r="J23" s="2"/>
      <c r="K23" s="2"/>
      <c r="L23" s="302"/>
    </row>
    <row r="24" spans="1:13" x14ac:dyDescent="0.3">
      <c r="A24" s="408" t="s">
        <v>3559</v>
      </c>
      <c r="B24" s="467"/>
      <c r="C24" s="1207">
        <f>+C13+C18+C19+C20</f>
        <v>365831042.60000002</v>
      </c>
      <c r="D24" s="1207"/>
      <c r="E24" s="468">
        <f>+E13+E18+E19+E20</f>
        <v>173769745.23500001</v>
      </c>
      <c r="F24" s="468">
        <f>+F13+F18+F19+F20</f>
        <v>0</v>
      </c>
      <c r="G24" s="468">
        <f t="shared" ref="G24:I24" si="8">+G13+G18+G19+G20</f>
        <v>0</v>
      </c>
      <c r="H24" s="468">
        <f t="shared" si="8"/>
        <v>192061297.36500001</v>
      </c>
      <c r="I24" s="468">
        <f t="shared" si="8"/>
        <v>914577606.5</v>
      </c>
    </row>
    <row r="25" spans="1:13" x14ac:dyDescent="0.3">
      <c r="A25" s="408" t="s">
        <v>3560</v>
      </c>
      <c r="B25" s="467"/>
      <c r="C25" s="1207">
        <f>+C14</f>
        <v>195901623.20000002</v>
      </c>
      <c r="D25" s="1207"/>
      <c r="E25" s="468">
        <f>+E14</f>
        <v>93053271.019999996</v>
      </c>
      <c r="F25" s="468">
        <f t="shared" ref="F25:I25" si="9">+F14</f>
        <v>0</v>
      </c>
      <c r="G25" s="468">
        <f t="shared" si="9"/>
        <v>0</v>
      </c>
      <c r="H25" s="468">
        <f t="shared" si="9"/>
        <v>102848352.18000002</v>
      </c>
      <c r="I25" s="468">
        <f t="shared" si="9"/>
        <v>489754058</v>
      </c>
    </row>
    <row r="26" spans="1:13" x14ac:dyDescent="0.3">
      <c r="B26" s="301"/>
      <c r="C26" s="465"/>
      <c r="D26" s="465"/>
      <c r="E26" s="466"/>
      <c r="F26" s="466"/>
      <c r="G26" s="466"/>
      <c r="H26" s="466"/>
    </row>
    <row r="27" spans="1:13" x14ac:dyDescent="0.3">
      <c r="A27" t="s">
        <v>3561</v>
      </c>
      <c r="E27" s="302"/>
    </row>
    <row r="28" spans="1:13" x14ac:dyDescent="0.3">
      <c r="A28" s="85"/>
      <c r="B28" s="85"/>
      <c r="C28" s="85"/>
      <c r="D28" s="85"/>
      <c r="E28" s="469"/>
      <c r="F28" s="470">
        <f>+F24+G24+F25+G25</f>
        <v>0</v>
      </c>
      <c r="G28" s="469">
        <f>+F28/5.5*3</f>
        <v>0</v>
      </c>
      <c r="H28" s="85"/>
      <c r="I28" s="85"/>
      <c r="J28" s="85"/>
      <c r="K28" s="85"/>
      <c r="L28" s="85"/>
      <c r="M28" s="85"/>
    </row>
    <row r="29" spans="1:13" x14ac:dyDescent="0.3">
      <c r="A29" s="85"/>
      <c r="B29" s="85"/>
      <c r="C29" s="85"/>
      <c r="D29" s="85"/>
      <c r="E29" s="85"/>
      <c r="F29" s="470">
        <f>+F13+G13+F14+G14+F18+G18</f>
        <v>0</v>
      </c>
      <c r="G29" s="469">
        <f>+F29/5.5*3</f>
        <v>0</v>
      </c>
      <c r="H29" s="471">
        <f>+F29-G29</f>
        <v>0</v>
      </c>
      <c r="I29" s="85"/>
      <c r="J29" s="85"/>
      <c r="K29" s="85"/>
      <c r="L29" s="85"/>
      <c r="M29" s="85"/>
    </row>
    <row r="30" spans="1:13" x14ac:dyDescent="0.3">
      <c r="A30" s="85"/>
      <c r="B30" s="85"/>
      <c r="C30" s="85"/>
      <c r="D30" s="85"/>
      <c r="E30" s="85"/>
      <c r="F30" s="470">
        <f>+F29-F14-G14</f>
        <v>0</v>
      </c>
      <c r="G30" s="469">
        <f>+F30/5.5*3</f>
        <v>0</v>
      </c>
      <c r="H30" s="471"/>
      <c r="I30" s="85"/>
      <c r="J30" s="85"/>
      <c r="K30" s="85"/>
      <c r="L30" s="85"/>
      <c r="M30" s="85"/>
    </row>
    <row r="31" spans="1:13" x14ac:dyDescent="0.3">
      <c r="A31" s="85"/>
      <c r="B31" s="85"/>
      <c r="C31" s="85"/>
      <c r="D31" s="85"/>
      <c r="E31" s="85"/>
      <c r="F31" s="470">
        <f>+F29-F30</f>
        <v>0</v>
      </c>
      <c r="G31" s="470">
        <f>+G29-G30</f>
        <v>0</v>
      </c>
      <c r="H31" s="471">
        <f t="shared" ref="H31" si="10">+F31-G31</f>
        <v>0</v>
      </c>
      <c r="I31" s="85"/>
      <c r="J31" s="85"/>
      <c r="K31" s="85"/>
      <c r="L31" s="85"/>
      <c r="M31" s="85"/>
    </row>
  </sheetData>
  <mergeCells count="14">
    <mergeCell ref="B16:H16"/>
    <mergeCell ref="B3:H3"/>
    <mergeCell ref="B11:H11"/>
    <mergeCell ref="C12:D12"/>
    <mergeCell ref="C13:D13"/>
    <mergeCell ref="C14:D14"/>
    <mergeCell ref="C24:D24"/>
    <mergeCell ref="C25:D25"/>
    <mergeCell ref="C17:D17"/>
    <mergeCell ref="C18:D18"/>
    <mergeCell ref="C19:D19"/>
    <mergeCell ref="C20:D20"/>
    <mergeCell ref="C22:D22"/>
    <mergeCell ref="C23:D2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7"/>
  <sheetViews>
    <sheetView workbookViewId="0">
      <selection sqref="A1:I1048576"/>
    </sheetView>
  </sheetViews>
  <sheetFormatPr defaultColWidth="12.6640625" defaultRowHeight="15.6" x14ac:dyDescent="0.3"/>
  <cols>
    <col min="1" max="1" width="12.6640625" style="71"/>
    <col min="2" max="2" width="18.77734375" style="71" hidden="1" customWidth="1"/>
    <col min="3" max="3" width="8.88671875" style="71" hidden="1" customWidth="1"/>
    <col min="4" max="4" width="15.109375" style="71" hidden="1" customWidth="1"/>
    <col min="5" max="5" width="18.6640625" style="71" customWidth="1"/>
    <col min="6" max="6" width="19.44140625" style="71" customWidth="1"/>
    <col min="7" max="8" width="18.6640625" style="71" customWidth="1"/>
    <col min="9" max="9" width="19.44140625" style="71" customWidth="1"/>
    <col min="10" max="10" width="18.6640625" style="71" customWidth="1"/>
    <col min="11" max="11" width="14.44140625" style="71" customWidth="1"/>
    <col min="12" max="13" width="17.21875" style="71" customWidth="1"/>
    <col min="14" max="16384" width="12.6640625" style="71"/>
  </cols>
  <sheetData>
    <row r="1" spans="1:13" ht="18.600000000000001" thickBot="1" x14ac:dyDescent="0.4">
      <c r="A1" s="98" t="s">
        <v>3812</v>
      </c>
      <c r="H1" s="71" t="s">
        <v>3813</v>
      </c>
    </row>
    <row r="2" spans="1:13" ht="16.2" thickBot="1" x14ac:dyDescent="0.35">
      <c r="A2" s="1075" t="s">
        <v>752</v>
      </c>
      <c r="B2" s="638"/>
      <c r="C2" s="1077" t="s">
        <v>3493</v>
      </c>
      <c r="D2" s="1079" t="s">
        <v>2627</v>
      </c>
      <c r="E2" s="1081" t="s">
        <v>3814</v>
      </c>
      <c r="F2" s="1082"/>
      <c r="G2" s="1083"/>
      <c r="H2" s="1081" t="s">
        <v>3815</v>
      </c>
      <c r="I2" s="1082"/>
      <c r="J2" s="1082"/>
      <c r="K2" s="1083"/>
      <c r="L2" s="1073" t="s">
        <v>3816</v>
      </c>
      <c r="M2" s="639">
        <v>0.7</v>
      </c>
    </row>
    <row r="3" spans="1:13" ht="47.4" thickBot="1" x14ac:dyDescent="0.35">
      <c r="A3" s="1076"/>
      <c r="B3" s="640"/>
      <c r="C3" s="1078"/>
      <c r="D3" s="1080"/>
      <c r="E3" s="641" t="s">
        <v>3817</v>
      </c>
      <c r="F3" s="642" t="s">
        <v>3818</v>
      </c>
      <c r="G3" s="643" t="s">
        <v>3819</v>
      </c>
      <c r="H3" s="641" t="s">
        <v>3820</v>
      </c>
      <c r="I3" s="642" t="s">
        <v>3818</v>
      </c>
      <c r="J3" s="642" t="s">
        <v>3819</v>
      </c>
      <c r="K3" s="643" t="s">
        <v>2917</v>
      </c>
      <c r="L3" s="1074"/>
      <c r="M3" s="644" t="s">
        <v>3821</v>
      </c>
    </row>
    <row r="4" spans="1:13" ht="44.4" customHeight="1" x14ac:dyDescent="0.3">
      <c r="A4" s="645" t="s">
        <v>4</v>
      </c>
      <c r="B4" s="646"/>
      <c r="C4" s="646" t="s">
        <v>90</v>
      </c>
      <c r="D4" s="647" t="s">
        <v>3822</v>
      </c>
      <c r="E4" s="648">
        <v>190481625.80457297</v>
      </c>
      <c r="F4" s="649">
        <v>14226549.960000001</v>
      </c>
      <c r="G4" s="650">
        <v>73936823.977051526</v>
      </c>
      <c r="H4" s="651">
        <v>183355597.804573</v>
      </c>
      <c r="I4" s="652">
        <v>14226549.960000001</v>
      </c>
      <c r="J4" s="652">
        <v>129546490.70395668</v>
      </c>
      <c r="K4" s="652">
        <f>SUM(H4:J4)</f>
        <v>327128638.4685297</v>
      </c>
      <c r="L4" s="653">
        <f>+K4-M4</f>
        <v>271518971.74162453</v>
      </c>
      <c r="M4" s="654">
        <f>(J4-G4)</f>
        <v>55609666.726905152</v>
      </c>
    </row>
    <row r="5" spans="1:13" x14ac:dyDescent="0.3">
      <c r="A5" s="645" t="s">
        <v>6</v>
      </c>
      <c r="B5" s="646"/>
      <c r="C5" s="646" t="s">
        <v>2629</v>
      </c>
      <c r="D5" s="647" t="s">
        <v>3494</v>
      </c>
      <c r="E5" s="648">
        <v>148390159.81595719</v>
      </c>
      <c r="F5" s="649">
        <v>8877968.4299999997</v>
      </c>
      <c r="G5" s="650">
        <v>95542509.573475242</v>
      </c>
      <c r="H5" s="655">
        <v>131885094.81595719</v>
      </c>
      <c r="I5" s="656">
        <v>8877968.4300000016</v>
      </c>
      <c r="J5" s="656">
        <v>174705196.60079351</v>
      </c>
      <c r="K5" s="656">
        <f t="shared" ref="K5:K16" si="0">SUM(H5:J5)</f>
        <v>315468259.84675074</v>
      </c>
      <c r="L5" s="657">
        <f t="shared" ref="L5:L16" si="1">+K5-M5</f>
        <v>236305572.81943247</v>
      </c>
      <c r="M5" s="658">
        <f t="shared" ref="M5:M16" si="2">(J5-G5)</f>
        <v>79162687.027318269</v>
      </c>
    </row>
    <row r="6" spans="1:13" x14ac:dyDescent="0.3">
      <c r="A6" s="645" t="s">
        <v>5</v>
      </c>
      <c r="B6" s="646"/>
      <c r="C6" s="646" t="s">
        <v>2630</v>
      </c>
      <c r="D6" s="647" t="s">
        <v>3823</v>
      </c>
      <c r="E6" s="648">
        <v>709850768.00189972</v>
      </c>
      <c r="F6" s="649">
        <v>10938760.199999999</v>
      </c>
      <c r="G6" s="650">
        <v>303659031.97581756</v>
      </c>
      <c r="H6" s="655">
        <v>657225455.00189984</v>
      </c>
      <c r="I6" s="656">
        <v>10938760.199999999</v>
      </c>
      <c r="J6" s="656">
        <v>545082857.13495684</v>
      </c>
      <c r="K6" s="656">
        <f t="shared" si="0"/>
        <v>1213247072.3368568</v>
      </c>
      <c r="L6" s="657">
        <f t="shared" si="1"/>
        <v>971823247.17771757</v>
      </c>
      <c r="M6" s="658">
        <f t="shared" si="2"/>
        <v>241423825.15913928</v>
      </c>
    </row>
    <row r="7" spans="1:13" x14ac:dyDescent="0.3">
      <c r="A7" s="645" t="s">
        <v>8</v>
      </c>
      <c r="B7" s="646"/>
      <c r="C7" s="646" t="s">
        <v>2631</v>
      </c>
      <c r="D7" s="647" t="s">
        <v>3824</v>
      </c>
      <c r="E7" s="648">
        <v>950845723.1177727</v>
      </c>
      <c r="F7" s="649">
        <v>12405022.818</v>
      </c>
      <c r="G7" s="650">
        <v>810860680.46146381</v>
      </c>
      <c r="H7" s="655">
        <v>1158698244.1177726</v>
      </c>
      <c r="I7" s="656">
        <v>12405022.818</v>
      </c>
      <c r="J7" s="656">
        <v>1493134085.1265459</v>
      </c>
      <c r="K7" s="656">
        <f t="shared" si="0"/>
        <v>2664237352.0623188</v>
      </c>
      <c r="L7" s="657">
        <f t="shared" si="1"/>
        <v>1981963947.3972368</v>
      </c>
      <c r="M7" s="658">
        <f t="shared" si="2"/>
        <v>682273404.6650821</v>
      </c>
    </row>
    <row r="8" spans="1:13" x14ac:dyDescent="0.3">
      <c r="A8" s="645" t="s">
        <v>9</v>
      </c>
      <c r="B8" s="646"/>
      <c r="C8" s="646" t="s">
        <v>2632</v>
      </c>
      <c r="D8" s="647" t="s">
        <v>3825</v>
      </c>
      <c r="E8" s="648">
        <v>210200633.67197111</v>
      </c>
      <c r="F8" s="649">
        <v>2238488.3849999998</v>
      </c>
      <c r="G8" s="650">
        <v>181115196.46013352</v>
      </c>
      <c r="H8" s="655">
        <v>253614864.67197111</v>
      </c>
      <c r="I8" s="656">
        <v>2238488.3849999998</v>
      </c>
      <c r="J8" s="656">
        <v>333843405.96392691</v>
      </c>
      <c r="K8" s="656">
        <f t="shared" si="0"/>
        <v>589696759.02089798</v>
      </c>
      <c r="L8" s="657">
        <f t="shared" si="1"/>
        <v>436968549.51710463</v>
      </c>
      <c r="M8" s="658">
        <f t="shared" si="2"/>
        <v>152728209.50379339</v>
      </c>
    </row>
    <row r="9" spans="1:13" x14ac:dyDescent="0.3">
      <c r="A9" s="645" t="s">
        <v>7</v>
      </c>
      <c r="B9" s="646"/>
      <c r="C9" s="646" t="s">
        <v>2633</v>
      </c>
      <c r="D9" s="647" t="s">
        <v>3826</v>
      </c>
      <c r="E9" s="648">
        <v>72771823.474880397</v>
      </c>
      <c r="F9" s="649">
        <v>1046187.2779999999</v>
      </c>
      <c r="G9" s="650">
        <v>62058238.120669641</v>
      </c>
      <c r="H9" s="655">
        <v>87084372.474880397</v>
      </c>
      <c r="I9" s="656">
        <v>1046187.2779999999</v>
      </c>
      <c r="J9" s="656">
        <v>114275205.1414523</v>
      </c>
      <c r="K9" s="656">
        <f t="shared" si="0"/>
        <v>202405764.89433271</v>
      </c>
      <c r="L9" s="657">
        <f t="shared" si="1"/>
        <v>150188797.87355006</v>
      </c>
      <c r="M9" s="658">
        <f t="shared" si="2"/>
        <v>52216967.020782657</v>
      </c>
    </row>
    <row r="10" spans="1:13" x14ac:dyDescent="0.3">
      <c r="A10" s="645" t="s">
        <v>10</v>
      </c>
      <c r="B10" s="646"/>
      <c r="C10" s="646" t="s">
        <v>2634</v>
      </c>
      <c r="D10" s="647" t="s">
        <v>3827</v>
      </c>
      <c r="E10" s="648">
        <v>93634483.091224551</v>
      </c>
      <c r="F10" s="649">
        <v>6734177.7999999998</v>
      </c>
      <c r="G10" s="650">
        <v>55904388.93875999</v>
      </c>
      <c r="H10" s="655">
        <v>85674339.091224551</v>
      </c>
      <c r="I10" s="656">
        <v>6734177.7999999998</v>
      </c>
      <c r="J10" s="656">
        <v>113174661.09954104</v>
      </c>
      <c r="K10" s="656">
        <f t="shared" si="0"/>
        <v>205583177.99076557</v>
      </c>
      <c r="L10" s="657">
        <f t="shared" si="1"/>
        <v>148312905.82998452</v>
      </c>
      <c r="M10" s="658">
        <f t="shared" si="2"/>
        <v>57270272.160781048</v>
      </c>
    </row>
    <row r="11" spans="1:13" x14ac:dyDescent="0.3">
      <c r="A11" s="645" t="s">
        <v>11</v>
      </c>
      <c r="B11" s="646"/>
      <c r="C11" s="646" t="s">
        <v>2635</v>
      </c>
      <c r="D11" s="647" t="s">
        <v>3828</v>
      </c>
      <c r="E11" s="648">
        <v>77713156.11634779</v>
      </c>
      <c r="F11" s="649">
        <v>4995234.3600000003</v>
      </c>
      <c r="G11" s="650">
        <v>34224702.509967692</v>
      </c>
      <c r="H11" s="655">
        <v>67104828.116347797</v>
      </c>
      <c r="I11" s="656">
        <v>4995234.3600000003</v>
      </c>
      <c r="J11" s="656">
        <v>59759932.143759511</v>
      </c>
      <c r="K11" s="656">
        <f t="shared" si="0"/>
        <v>131859994.62010732</v>
      </c>
      <c r="L11" s="657">
        <f t="shared" si="1"/>
        <v>106324764.9863155</v>
      </c>
      <c r="M11" s="658">
        <f t="shared" si="2"/>
        <v>25535229.633791819</v>
      </c>
    </row>
    <row r="12" spans="1:13" x14ac:dyDescent="0.3">
      <c r="A12" s="645" t="s">
        <v>3267</v>
      </c>
      <c r="B12" s="646"/>
      <c r="C12" s="646" t="s">
        <v>874</v>
      </c>
      <c r="D12" s="647" t="s">
        <v>3829</v>
      </c>
      <c r="E12" s="648">
        <v>17540390.467536617</v>
      </c>
      <c r="F12" s="649">
        <v>267348.95999999996</v>
      </c>
      <c r="G12" s="650">
        <v>7489533.8834678959</v>
      </c>
      <c r="H12" s="655">
        <v>15559879.467536617</v>
      </c>
      <c r="I12" s="656">
        <v>267348.95999999996</v>
      </c>
      <c r="J12" s="656">
        <v>13423302.259197675</v>
      </c>
      <c r="K12" s="656">
        <f t="shared" si="0"/>
        <v>29250530.686734293</v>
      </c>
      <c r="L12" s="657">
        <f t="shared" si="1"/>
        <v>23316762.311004512</v>
      </c>
      <c r="M12" s="658">
        <f t="shared" si="2"/>
        <v>5933768.3757297788</v>
      </c>
    </row>
    <row r="13" spans="1:13" x14ac:dyDescent="0.3">
      <c r="A13" s="645" t="s">
        <v>2684</v>
      </c>
      <c r="B13" s="646"/>
      <c r="C13" s="646" t="s">
        <v>2637</v>
      </c>
      <c r="D13" s="647" t="s">
        <v>3497</v>
      </c>
      <c r="E13" s="648">
        <v>85089989.275609508</v>
      </c>
      <c r="F13" s="649">
        <v>4059876.1849999996</v>
      </c>
      <c r="G13" s="650">
        <v>31848173.887785282</v>
      </c>
      <c r="H13" s="655">
        <v>69165926.275609508</v>
      </c>
      <c r="I13" s="656">
        <v>4059876.1849999996</v>
      </c>
      <c r="J13" s="656">
        <v>53420935.919194527</v>
      </c>
      <c r="K13" s="656">
        <f t="shared" si="0"/>
        <v>126646738.37980404</v>
      </c>
      <c r="L13" s="657">
        <f t="shared" si="1"/>
        <v>105073976.3483948</v>
      </c>
      <c r="M13" s="658">
        <f t="shared" si="2"/>
        <v>21572762.031409245</v>
      </c>
    </row>
    <row r="14" spans="1:13" x14ac:dyDescent="0.3">
      <c r="A14" s="645" t="s">
        <v>2683</v>
      </c>
      <c r="B14" s="646"/>
      <c r="C14" s="646" t="s">
        <v>2638</v>
      </c>
      <c r="D14" s="647" t="s">
        <v>3498</v>
      </c>
      <c r="E14" s="648">
        <v>39105563.046341971</v>
      </c>
      <c r="F14" s="649">
        <v>939045.31499999994</v>
      </c>
      <c r="G14" s="650">
        <v>14636748.48806976</v>
      </c>
      <c r="H14" s="655">
        <v>35053258.046341971</v>
      </c>
      <c r="I14" s="656">
        <v>939045.31499999994</v>
      </c>
      <c r="J14" s="656">
        <v>24551134.573729116</v>
      </c>
      <c r="K14" s="656">
        <f t="shared" si="0"/>
        <v>60543437.935071081</v>
      </c>
      <c r="L14" s="657">
        <f t="shared" si="1"/>
        <v>50629051.849411726</v>
      </c>
      <c r="M14" s="658">
        <f t="shared" si="2"/>
        <v>9914386.0856593568</v>
      </c>
    </row>
    <row r="15" spans="1:13" x14ac:dyDescent="0.3">
      <c r="A15" s="645" t="s">
        <v>2685</v>
      </c>
      <c r="B15" s="646"/>
      <c r="C15" s="646" t="s">
        <v>2639</v>
      </c>
      <c r="D15" s="647" t="s">
        <v>3495</v>
      </c>
      <c r="E15" s="648">
        <v>7697248.8349134661</v>
      </c>
      <c r="F15" s="649">
        <v>152506.394</v>
      </c>
      <c r="G15" s="650">
        <v>2880988.9557965365</v>
      </c>
      <c r="H15" s="655">
        <v>1285267.8349134666</v>
      </c>
      <c r="I15" s="656">
        <v>152506.394</v>
      </c>
      <c r="J15" s="656">
        <v>4832463.1400779039</v>
      </c>
      <c r="K15" s="656">
        <f t="shared" si="0"/>
        <v>6270237.3689913703</v>
      </c>
      <c r="L15" s="657">
        <f t="shared" si="1"/>
        <v>4318763.1847100034</v>
      </c>
      <c r="M15" s="658">
        <f t="shared" si="2"/>
        <v>1951474.1842813673</v>
      </c>
    </row>
    <row r="16" spans="1:13" ht="16.2" thickBot="1" x14ac:dyDescent="0.35">
      <c r="A16" s="659" t="s">
        <v>784</v>
      </c>
      <c r="B16" s="660"/>
      <c r="C16" s="660" t="s">
        <v>2640</v>
      </c>
      <c r="D16" s="661" t="s">
        <v>3496</v>
      </c>
      <c r="E16" s="662">
        <v>112062107.923942</v>
      </c>
      <c r="F16" s="663">
        <v>3678651.0990000004</v>
      </c>
      <c r="G16" s="664">
        <v>47347352.085641094</v>
      </c>
      <c r="H16" s="665">
        <v>99374568.923942015</v>
      </c>
      <c r="I16" s="666">
        <v>3678651.0989999999</v>
      </c>
      <c r="J16" s="666">
        <v>74160400.650337145</v>
      </c>
      <c r="K16" s="666">
        <f t="shared" si="0"/>
        <v>177213620.67327917</v>
      </c>
      <c r="L16" s="667">
        <f t="shared" si="1"/>
        <v>150400572.10858312</v>
      </c>
      <c r="M16" s="668">
        <f t="shared" si="2"/>
        <v>26813048.564696051</v>
      </c>
    </row>
    <row r="17" spans="2:11" x14ac:dyDescent="0.3">
      <c r="B17"/>
      <c r="C17"/>
      <c r="D17"/>
      <c r="E17"/>
      <c r="F17"/>
      <c r="G17"/>
      <c r="H17"/>
      <c r="I17"/>
      <c r="J17"/>
      <c r="K17"/>
    </row>
    <row r="18" spans="2:11" x14ac:dyDescent="0.3">
      <c r="B18"/>
      <c r="C18"/>
      <c r="D18"/>
      <c r="E18"/>
      <c r="F18"/>
      <c r="G18"/>
      <c r="H18"/>
      <c r="I18"/>
      <c r="J18"/>
      <c r="K18"/>
    </row>
    <row r="19" spans="2:11" x14ac:dyDescent="0.3">
      <c r="B19"/>
      <c r="C19"/>
      <c r="D19"/>
      <c r="E19"/>
      <c r="F19" s="1"/>
      <c r="G19"/>
      <c r="H19"/>
      <c r="I19"/>
      <c r="J19"/>
      <c r="K19"/>
    </row>
    <row r="20" spans="2:11" x14ac:dyDescent="0.3">
      <c r="B20"/>
      <c r="C20"/>
      <c r="D20"/>
      <c r="E20"/>
      <c r="F20"/>
      <c r="G20"/>
      <c r="H20"/>
      <c r="I20"/>
      <c r="J20"/>
      <c r="K20"/>
    </row>
    <row r="21" spans="2:11" x14ac:dyDescent="0.3">
      <c r="B21"/>
      <c r="C21"/>
      <c r="D21"/>
      <c r="E21"/>
      <c r="F21"/>
      <c r="G21"/>
      <c r="H21"/>
      <c r="I21"/>
      <c r="J21"/>
      <c r="K21"/>
    </row>
    <row r="22" spans="2:11" x14ac:dyDescent="0.3">
      <c r="B22"/>
      <c r="C22"/>
      <c r="D22"/>
      <c r="E22"/>
      <c r="F22"/>
      <c r="G22"/>
      <c r="H22"/>
      <c r="I22"/>
      <c r="J22"/>
      <c r="K22"/>
    </row>
    <row r="23" spans="2:11" x14ac:dyDescent="0.3">
      <c r="B23"/>
      <c r="C23"/>
      <c r="D23"/>
      <c r="E23"/>
      <c r="F23"/>
      <c r="G23"/>
      <c r="H23"/>
      <c r="I23"/>
      <c r="J23"/>
      <c r="K23"/>
    </row>
    <row r="24" spans="2:11" x14ac:dyDescent="0.3">
      <c r="B24"/>
      <c r="C24"/>
      <c r="D24"/>
      <c r="E24"/>
      <c r="F24"/>
      <c r="G24"/>
      <c r="H24"/>
      <c r="I24"/>
      <c r="J24"/>
      <c r="K24"/>
    </row>
    <row r="25" spans="2:11" x14ac:dyDescent="0.3">
      <c r="B25"/>
      <c r="C25"/>
      <c r="D25"/>
      <c r="E25"/>
      <c r="F25"/>
      <c r="G25"/>
      <c r="H25"/>
      <c r="I25"/>
      <c r="J25"/>
      <c r="K25"/>
    </row>
    <row r="26" spans="2:11" x14ac:dyDescent="0.3">
      <c r="B26"/>
      <c r="C26"/>
      <c r="D26"/>
      <c r="E26"/>
      <c r="F26"/>
      <c r="G26"/>
      <c r="H26"/>
      <c r="I26"/>
      <c r="J26"/>
      <c r="K26"/>
    </row>
    <row r="27" spans="2:11" x14ac:dyDescent="0.3">
      <c r="B27"/>
      <c r="C27"/>
      <c r="D27"/>
      <c r="E27"/>
      <c r="F27"/>
      <c r="G27"/>
      <c r="H27"/>
      <c r="I27"/>
      <c r="J27"/>
      <c r="K27"/>
    </row>
    <row r="28" spans="2:11" x14ac:dyDescent="0.3">
      <c r="B28"/>
      <c r="C28"/>
      <c r="D28"/>
      <c r="E28"/>
      <c r="F28"/>
      <c r="G28"/>
      <c r="H28"/>
      <c r="I28"/>
      <c r="J28"/>
      <c r="K28"/>
    </row>
    <row r="29" spans="2:11" x14ac:dyDescent="0.3">
      <c r="B29"/>
      <c r="C29"/>
      <c r="D29"/>
      <c r="E29"/>
      <c r="F29"/>
      <c r="G29"/>
      <c r="H29"/>
      <c r="I29"/>
      <c r="J29"/>
      <c r="K29"/>
    </row>
    <row r="30" spans="2:11" x14ac:dyDescent="0.3">
      <c r="B30"/>
      <c r="C30"/>
      <c r="D30"/>
      <c r="E30"/>
      <c r="F30"/>
      <c r="G30"/>
      <c r="H30"/>
      <c r="I30"/>
      <c r="J30"/>
      <c r="K30"/>
    </row>
    <row r="31" spans="2:11" x14ac:dyDescent="0.3">
      <c r="B31"/>
      <c r="C31"/>
      <c r="D31"/>
      <c r="E31"/>
      <c r="F31"/>
      <c r="G31"/>
      <c r="H31"/>
      <c r="I31"/>
      <c r="J31"/>
      <c r="K31"/>
    </row>
    <row r="32" spans="2:11" x14ac:dyDescent="0.3">
      <c r="B32"/>
      <c r="C32"/>
      <c r="D32"/>
      <c r="E32"/>
      <c r="F32"/>
      <c r="G32"/>
      <c r="H32"/>
      <c r="I32"/>
      <c r="J32"/>
      <c r="K32"/>
    </row>
    <row r="33" spans="2:11" x14ac:dyDescent="0.3">
      <c r="B33"/>
      <c r="C33"/>
      <c r="D33"/>
      <c r="E33"/>
      <c r="F33"/>
      <c r="G33"/>
      <c r="H33"/>
      <c r="I33"/>
      <c r="J33"/>
      <c r="K33"/>
    </row>
    <row r="34" spans="2:11" x14ac:dyDescent="0.3">
      <c r="B34"/>
      <c r="C34"/>
      <c r="D34"/>
      <c r="E34"/>
      <c r="F34"/>
      <c r="G34"/>
      <c r="H34"/>
      <c r="I34"/>
      <c r="J34"/>
      <c r="K34"/>
    </row>
    <row r="35" spans="2:11" x14ac:dyDescent="0.3">
      <c r="B35"/>
      <c r="C35"/>
      <c r="D35"/>
      <c r="E35"/>
      <c r="F35"/>
      <c r="G35"/>
      <c r="H35"/>
      <c r="I35"/>
      <c r="J35"/>
      <c r="K35"/>
    </row>
    <row r="36" spans="2:11" x14ac:dyDescent="0.3">
      <c r="B36"/>
      <c r="C36"/>
      <c r="D36"/>
      <c r="E36"/>
      <c r="F36"/>
      <c r="G36"/>
      <c r="H36"/>
      <c r="I36"/>
      <c r="J36"/>
      <c r="K36"/>
    </row>
    <row r="37" spans="2:11" x14ac:dyDescent="0.3">
      <c r="B37"/>
      <c r="C37"/>
      <c r="D37"/>
      <c r="E37"/>
      <c r="F37"/>
      <c r="G37"/>
      <c r="H37"/>
      <c r="I37"/>
      <c r="J37"/>
      <c r="K37"/>
    </row>
    <row r="38" spans="2:11" x14ac:dyDescent="0.3">
      <c r="B38"/>
      <c r="C38"/>
      <c r="D38"/>
      <c r="E38"/>
      <c r="F38"/>
      <c r="G38"/>
      <c r="H38"/>
      <c r="I38"/>
      <c r="J38"/>
      <c r="K38"/>
    </row>
    <row r="39" spans="2:11" x14ac:dyDescent="0.3">
      <c r="B39"/>
      <c r="C39"/>
      <c r="D39"/>
      <c r="E39"/>
      <c r="F39"/>
      <c r="G39"/>
      <c r="H39"/>
      <c r="I39"/>
      <c r="J39"/>
      <c r="K39"/>
    </row>
    <row r="40" spans="2:11" x14ac:dyDescent="0.3">
      <c r="B40"/>
      <c r="C40"/>
      <c r="D40"/>
      <c r="E40"/>
      <c r="F40"/>
      <c r="G40"/>
      <c r="H40"/>
      <c r="I40"/>
      <c r="J40"/>
      <c r="K40"/>
    </row>
    <row r="41" spans="2:11" x14ac:dyDescent="0.3">
      <c r="B41"/>
      <c r="C41"/>
      <c r="D41"/>
      <c r="E41"/>
      <c r="F41"/>
      <c r="G41"/>
      <c r="H41"/>
      <c r="I41"/>
      <c r="J41"/>
      <c r="K41"/>
    </row>
    <row r="42" spans="2:11" x14ac:dyDescent="0.3">
      <c r="B42"/>
      <c r="C42"/>
      <c r="D42"/>
      <c r="E42"/>
      <c r="F42"/>
      <c r="G42"/>
      <c r="H42"/>
      <c r="I42"/>
      <c r="J42"/>
      <c r="K42"/>
    </row>
    <row r="43" spans="2:11" x14ac:dyDescent="0.3">
      <c r="B43"/>
      <c r="C43"/>
      <c r="D43"/>
      <c r="E43"/>
      <c r="F43"/>
      <c r="G43"/>
      <c r="H43"/>
      <c r="I43"/>
      <c r="J43"/>
      <c r="K43"/>
    </row>
    <row r="44" spans="2:11" x14ac:dyDescent="0.3">
      <c r="B44"/>
      <c r="C44"/>
      <c r="D44"/>
      <c r="E44"/>
      <c r="F44"/>
      <c r="G44"/>
      <c r="H44"/>
      <c r="I44"/>
      <c r="J44"/>
      <c r="K44"/>
    </row>
    <row r="45" spans="2:11" x14ac:dyDescent="0.3">
      <c r="B45"/>
      <c r="C45"/>
      <c r="D45"/>
      <c r="E45"/>
      <c r="F45"/>
      <c r="G45"/>
      <c r="H45"/>
      <c r="I45"/>
      <c r="J45"/>
      <c r="K45"/>
    </row>
    <row r="46" spans="2:11" x14ac:dyDescent="0.3">
      <c r="B46"/>
      <c r="C46"/>
      <c r="D46"/>
      <c r="E46"/>
      <c r="F46"/>
      <c r="G46"/>
      <c r="H46"/>
      <c r="I46"/>
      <c r="J46"/>
      <c r="K46"/>
    </row>
    <row r="47" spans="2:11" x14ac:dyDescent="0.3">
      <c r="B47"/>
      <c r="C47"/>
      <c r="D47"/>
      <c r="E47"/>
      <c r="F47"/>
      <c r="G47"/>
      <c r="H47"/>
      <c r="I47"/>
      <c r="J47"/>
      <c r="K47"/>
    </row>
    <row r="48" spans="2:11" x14ac:dyDescent="0.3">
      <c r="B48"/>
      <c r="C48"/>
      <c r="D48"/>
      <c r="E48"/>
      <c r="F48"/>
      <c r="G48"/>
      <c r="H48"/>
      <c r="I48"/>
      <c r="J48"/>
      <c r="K48"/>
    </row>
    <row r="49" spans="2:11" x14ac:dyDescent="0.3">
      <c r="B49"/>
      <c r="C49"/>
      <c r="D49"/>
      <c r="E49"/>
      <c r="F49"/>
      <c r="G49"/>
      <c r="H49"/>
      <c r="I49"/>
      <c r="J49"/>
      <c r="K49"/>
    </row>
    <row r="50" spans="2:11" x14ac:dyDescent="0.3">
      <c r="B50"/>
      <c r="C50"/>
      <c r="D50"/>
      <c r="E50"/>
      <c r="F50"/>
      <c r="G50"/>
      <c r="H50"/>
      <c r="I50"/>
      <c r="J50"/>
      <c r="K50"/>
    </row>
    <row r="51" spans="2:11" x14ac:dyDescent="0.3">
      <c r="B51"/>
      <c r="C51"/>
      <c r="D51"/>
      <c r="E51"/>
      <c r="F51"/>
      <c r="G51"/>
      <c r="H51"/>
      <c r="I51"/>
      <c r="J51"/>
      <c r="K51"/>
    </row>
    <row r="52" spans="2:11" x14ac:dyDescent="0.3">
      <c r="B52"/>
      <c r="C52"/>
      <c r="D52"/>
      <c r="E52"/>
      <c r="F52"/>
      <c r="G52"/>
      <c r="H52"/>
      <c r="I52"/>
      <c r="J52"/>
      <c r="K52"/>
    </row>
    <row r="53" spans="2:11" x14ac:dyDescent="0.3">
      <c r="B53"/>
      <c r="C53"/>
      <c r="D53"/>
      <c r="E53"/>
      <c r="F53"/>
      <c r="G53"/>
      <c r="H53"/>
      <c r="I53"/>
      <c r="J53"/>
      <c r="K53"/>
    </row>
    <row r="54" spans="2:11" x14ac:dyDescent="0.3">
      <c r="B54"/>
      <c r="C54"/>
      <c r="D54"/>
      <c r="E54"/>
      <c r="F54"/>
      <c r="G54"/>
      <c r="H54"/>
      <c r="I54"/>
      <c r="J54"/>
      <c r="K54"/>
    </row>
    <row r="55" spans="2:11" x14ac:dyDescent="0.3">
      <c r="B55"/>
      <c r="C55"/>
      <c r="D55"/>
      <c r="E55"/>
      <c r="F55"/>
      <c r="G55"/>
      <c r="H55"/>
      <c r="I55"/>
      <c r="J55"/>
      <c r="K55"/>
    </row>
    <row r="56" spans="2:11" x14ac:dyDescent="0.3">
      <c r="B56"/>
      <c r="C56"/>
      <c r="D56"/>
      <c r="E56"/>
      <c r="F56"/>
      <c r="G56"/>
      <c r="H56"/>
      <c r="I56"/>
      <c r="J56"/>
      <c r="K56"/>
    </row>
    <row r="57" spans="2:11" x14ac:dyDescent="0.3">
      <c r="B57"/>
      <c r="C57"/>
      <c r="D57"/>
      <c r="E57"/>
      <c r="F57"/>
      <c r="G57"/>
      <c r="H57"/>
      <c r="I57"/>
      <c r="J57"/>
      <c r="K57"/>
    </row>
    <row r="58" spans="2:11" x14ac:dyDescent="0.3">
      <c r="B58"/>
      <c r="C58"/>
      <c r="D58"/>
      <c r="E58"/>
      <c r="F58"/>
      <c r="G58"/>
      <c r="H58"/>
      <c r="I58"/>
      <c r="J58"/>
      <c r="K58"/>
    </row>
    <row r="59" spans="2:11" x14ac:dyDescent="0.3">
      <c r="B59"/>
      <c r="C59"/>
      <c r="D59"/>
      <c r="E59"/>
      <c r="F59"/>
      <c r="G59"/>
      <c r="H59"/>
      <c r="I59"/>
      <c r="J59"/>
      <c r="K59"/>
    </row>
    <row r="60" spans="2:11" x14ac:dyDescent="0.3">
      <c r="B60"/>
      <c r="C60"/>
      <c r="D60"/>
      <c r="E60"/>
      <c r="F60"/>
      <c r="G60"/>
      <c r="H60"/>
      <c r="I60"/>
      <c r="J60"/>
      <c r="K60"/>
    </row>
    <row r="61" spans="2:11" x14ac:dyDescent="0.3">
      <c r="B61"/>
      <c r="C61"/>
      <c r="D61"/>
      <c r="E61"/>
      <c r="F61"/>
      <c r="G61"/>
      <c r="H61"/>
      <c r="I61"/>
      <c r="J61"/>
      <c r="K61"/>
    </row>
    <row r="62" spans="2:11" x14ac:dyDescent="0.3">
      <c r="B62"/>
      <c r="C62"/>
      <c r="D62"/>
      <c r="E62"/>
      <c r="F62"/>
      <c r="G62"/>
      <c r="H62"/>
      <c r="I62"/>
      <c r="J62"/>
      <c r="K62"/>
    </row>
    <row r="63" spans="2:11" x14ac:dyDescent="0.3">
      <c r="B63"/>
      <c r="C63"/>
      <c r="D63"/>
      <c r="E63"/>
      <c r="F63"/>
      <c r="G63"/>
      <c r="H63"/>
      <c r="I63"/>
      <c r="J63"/>
      <c r="K63"/>
    </row>
    <row r="64" spans="2:11" x14ac:dyDescent="0.3">
      <c r="B64"/>
      <c r="C64"/>
      <c r="D64"/>
      <c r="E64"/>
      <c r="F64"/>
      <c r="G64"/>
      <c r="H64"/>
      <c r="I64"/>
      <c r="J64"/>
      <c r="K64"/>
    </row>
    <row r="65" spans="2:11" x14ac:dyDescent="0.3">
      <c r="B65"/>
      <c r="C65"/>
      <c r="D65"/>
      <c r="E65"/>
      <c r="F65"/>
      <c r="G65"/>
      <c r="H65"/>
      <c r="I65"/>
      <c r="J65"/>
      <c r="K65"/>
    </row>
    <row r="66" spans="2:11" x14ac:dyDescent="0.3">
      <c r="B66"/>
      <c r="C66"/>
      <c r="D66"/>
      <c r="E66"/>
      <c r="F66"/>
      <c r="G66"/>
      <c r="H66"/>
      <c r="I66"/>
      <c r="J66"/>
      <c r="K66"/>
    </row>
    <row r="67" spans="2:11" x14ac:dyDescent="0.3">
      <c r="B67"/>
      <c r="C67"/>
      <c r="D67"/>
      <c r="E67"/>
      <c r="F67"/>
      <c r="G67"/>
      <c r="H67"/>
      <c r="I67"/>
      <c r="J67"/>
      <c r="K67"/>
    </row>
    <row r="68" spans="2:11" x14ac:dyDescent="0.3">
      <c r="B68"/>
      <c r="C68"/>
      <c r="D68"/>
      <c r="E68"/>
      <c r="F68"/>
      <c r="G68"/>
      <c r="H68"/>
      <c r="I68"/>
      <c r="J68"/>
      <c r="K68"/>
    </row>
    <row r="69" spans="2:11" x14ac:dyDescent="0.3">
      <c r="B69"/>
      <c r="C69"/>
      <c r="D69"/>
      <c r="E69"/>
      <c r="F69"/>
      <c r="G69"/>
      <c r="H69"/>
      <c r="I69"/>
      <c r="J69"/>
      <c r="K69"/>
    </row>
    <row r="70" spans="2:11" x14ac:dyDescent="0.3">
      <c r="B70"/>
      <c r="C70"/>
      <c r="D70"/>
      <c r="E70"/>
      <c r="F70"/>
      <c r="G70"/>
      <c r="H70"/>
      <c r="I70"/>
      <c r="J70"/>
      <c r="K70"/>
    </row>
    <row r="71" spans="2:11" x14ac:dyDescent="0.3">
      <c r="B71"/>
      <c r="C71"/>
      <c r="D71"/>
      <c r="E71"/>
      <c r="F71"/>
      <c r="G71"/>
      <c r="H71"/>
      <c r="I71"/>
      <c r="J71"/>
      <c r="K71"/>
    </row>
    <row r="72" spans="2:11" x14ac:dyDescent="0.3">
      <c r="B72"/>
      <c r="C72"/>
      <c r="D72"/>
      <c r="E72"/>
      <c r="F72"/>
      <c r="G72"/>
      <c r="H72"/>
      <c r="I72"/>
      <c r="J72"/>
      <c r="K72"/>
    </row>
    <row r="73" spans="2:11" x14ac:dyDescent="0.3">
      <c r="B73"/>
      <c r="C73"/>
      <c r="D73"/>
      <c r="E73"/>
      <c r="F73"/>
      <c r="G73"/>
      <c r="H73"/>
      <c r="I73"/>
      <c r="J73"/>
      <c r="K73"/>
    </row>
    <row r="74" spans="2:11" x14ac:dyDescent="0.3">
      <c r="B74"/>
      <c r="C74"/>
      <c r="D74"/>
      <c r="E74"/>
      <c r="F74"/>
      <c r="G74"/>
      <c r="H74"/>
      <c r="I74"/>
      <c r="J74"/>
      <c r="K74"/>
    </row>
    <row r="75" spans="2:11" x14ac:dyDescent="0.3">
      <c r="B75"/>
      <c r="C75"/>
      <c r="D75"/>
      <c r="E75"/>
      <c r="F75"/>
      <c r="G75"/>
      <c r="H75"/>
      <c r="I75"/>
      <c r="J75"/>
      <c r="K75"/>
    </row>
    <row r="77" spans="2:11" x14ac:dyDescent="0.3">
      <c r="B77"/>
    </row>
  </sheetData>
  <mergeCells count="6">
    <mergeCell ref="L2:L3"/>
    <mergeCell ref="A2:A3"/>
    <mergeCell ref="C2:C3"/>
    <mergeCell ref="D2:D3"/>
    <mergeCell ref="E2:G2"/>
    <mergeCell ref="H2:K2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7"/>
  <sheetViews>
    <sheetView topLeftCell="E1" workbookViewId="0">
      <selection activeCell="E2" sqref="E2:AE2"/>
    </sheetView>
  </sheetViews>
  <sheetFormatPr defaultRowHeight="15.6" x14ac:dyDescent="0.3"/>
  <cols>
    <col min="1" max="1" width="41.44140625" hidden="1" customWidth="1"/>
    <col min="2" max="2" width="19.109375" hidden="1" customWidth="1"/>
    <col min="3" max="3" width="20.77734375" hidden="1" customWidth="1"/>
    <col min="4" max="4" width="0" hidden="1" customWidth="1"/>
    <col min="5" max="5" width="20.77734375" bestFit="1" customWidth="1"/>
  </cols>
  <sheetData>
    <row r="1" spans="1:31" ht="110.4" x14ac:dyDescent="0.3">
      <c r="A1" t="s">
        <v>2798</v>
      </c>
      <c r="B1" t="s">
        <v>2789</v>
      </c>
      <c r="C1" t="s">
        <v>2797</v>
      </c>
      <c r="E1" t="s">
        <v>2798</v>
      </c>
      <c r="F1" s="118" t="s">
        <v>2776</v>
      </c>
      <c r="G1" s="118" t="s">
        <v>2777</v>
      </c>
      <c r="H1" s="118" t="s">
        <v>2778</v>
      </c>
      <c r="I1" s="118" t="s">
        <v>2779</v>
      </c>
      <c r="J1" s="118" t="s">
        <v>2780</v>
      </c>
      <c r="K1" s="118" t="s">
        <v>2781</v>
      </c>
      <c r="L1" s="118" t="s">
        <v>2782</v>
      </c>
      <c r="M1" s="118" t="s">
        <v>2783</v>
      </c>
      <c r="N1" s="118" t="s">
        <v>2784</v>
      </c>
      <c r="O1" s="118" t="s">
        <v>2785</v>
      </c>
      <c r="P1" s="118" t="s">
        <v>2786</v>
      </c>
      <c r="Q1" s="118" t="s">
        <v>2787</v>
      </c>
      <c r="R1" s="118" t="s">
        <v>2788</v>
      </c>
      <c r="S1" s="118" t="s">
        <v>2790</v>
      </c>
      <c r="T1" s="118" t="s">
        <v>2791</v>
      </c>
      <c r="U1" s="118" t="s">
        <v>2792</v>
      </c>
      <c r="V1" s="118" t="s">
        <v>2793</v>
      </c>
      <c r="W1" s="118" t="s">
        <v>2794</v>
      </c>
      <c r="X1" s="118" t="s">
        <v>2795</v>
      </c>
      <c r="Y1" s="118" t="s">
        <v>2796</v>
      </c>
      <c r="Z1" s="128" t="s">
        <v>86</v>
      </c>
      <c r="AA1" s="128" t="s">
        <v>87</v>
      </c>
      <c r="AB1" s="128" t="s">
        <v>88</v>
      </c>
      <c r="AC1" s="128" t="s">
        <v>2799</v>
      </c>
      <c r="AD1" s="120" t="s">
        <v>2774</v>
      </c>
      <c r="AE1" s="121" t="s">
        <v>2775</v>
      </c>
    </row>
    <row r="2" spans="1:31" x14ac:dyDescent="0.3">
      <c r="A2" s="117" t="s">
        <v>2776</v>
      </c>
      <c r="B2" s="122">
        <v>114.0316091954023</v>
      </c>
      <c r="C2" s="125">
        <v>379159.52840995637</v>
      </c>
      <c r="E2" t="s">
        <v>2789</v>
      </c>
      <c r="F2" s="122">
        <v>114.0316091954023</v>
      </c>
      <c r="G2" s="122">
        <v>24.367528735632185</v>
      </c>
      <c r="H2" s="122">
        <v>47.4</v>
      </c>
      <c r="I2" s="122">
        <v>22.28</v>
      </c>
      <c r="J2" s="122">
        <v>45.68</v>
      </c>
      <c r="K2" s="122">
        <v>57.67</v>
      </c>
      <c r="L2" s="122">
        <v>63</v>
      </c>
      <c r="M2" s="122">
        <v>12.8</v>
      </c>
      <c r="N2" s="122">
        <v>14.35</v>
      </c>
      <c r="O2" s="122">
        <v>19.331609195402297</v>
      </c>
      <c r="P2" s="122">
        <v>39.11913793103448</v>
      </c>
      <c r="Q2" s="122">
        <v>30.7</v>
      </c>
      <c r="R2" s="122">
        <v>62.08</v>
      </c>
      <c r="S2" s="122">
        <v>50.95</v>
      </c>
      <c r="T2" s="122">
        <v>40.011321839080466</v>
      </c>
      <c r="U2" s="122">
        <v>107.38252873563218</v>
      </c>
      <c r="V2" s="122">
        <v>70.531609195402297</v>
      </c>
      <c r="W2" s="122">
        <v>16</v>
      </c>
      <c r="X2" s="122">
        <v>8</v>
      </c>
      <c r="Y2" s="122">
        <v>24.5</v>
      </c>
      <c r="Z2" s="122">
        <v>128.65</v>
      </c>
      <c r="AA2" s="122">
        <v>20</v>
      </c>
      <c r="AB2" s="122">
        <v>15.25</v>
      </c>
      <c r="AC2" s="122"/>
      <c r="AD2" s="123">
        <v>4.5</v>
      </c>
      <c r="AE2" s="124">
        <v>2</v>
      </c>
    </row>
    <row r="3" spans="1:31" ht="16.2" thickBot="1" x14ac:dyDescent="0.35">
      <c r="A3" s="117" t="s">
        <v>2777</v>
      </c>
      <c r="B3" s="122">
        <v>24.367528735632185</v>
      </c>
      <c r="C3" s="126">
        <v>107956.88252499999</v>
      </c>
      <c r="E3" t="s">
        <v>2797</v>
      </c>
      <c r="F3" s="125">
        <v>379159.52840995637</v>
      </c>
      <c r="G3" s="126">
        <v>107956.88252499999</v>
      </c>
      <c r="H3" s="126">
        <v>222320.57371623666</v>
      </c>
      <c r="I3" s="126">
        <v>54706.989974999997</v>
      </c>
      <c r="J3" s="126">
        <v>187763.07103248246</v>
      </c>
      <c r="K3" s="126">
        <v>214046.95</v>
      </c>
      <c r="L3" s="126">
        <v>200409.97280603502</v>
      </c>
      <c r="M3" s="126">
        <v>53218.851699999999</v>
      </c>
      <c r="N3" s="126">
        <v>41598.902799999996</v>
      </c>
      <c r="O3" s="126">
        <v>72905.662549999994</v>
      </c>
      <c r="P3" s="126">
        <v>128402.15773767303</v>
      </c>
      <c r="Q3" s="126">
        <v>93945.866400000014</v>
      </c>
      <c r="R3" s="126">
        <v>195472.27465000001</v>
      </c>
      <c r="S3" s="126">
        <v>158461.79819097868</v>
      </c>
      <c r="T3" s="126">
        <v>114440.76757500001</v>
      </c>
      <c r="U3" s="126">
        <v>393554.59006249998</v>
      </c>
      <c r="V3" s="126">
        <v>78538.4277</v>
      </c>
      <c r="W3" s="126">
        <v>39290.808574999995</v>
      </c>
      <c r="X3" s="126">
        <v>34345.417799999996</v>
      </c>
      <c r="Y3" s="126">
        <v>92002.500924999971</v>
      </c>
      <c r="Z3" s="125">
        <v>111021.92709999999</v>
      </c>
      <c r="AA3" s="125">
        <v>105219.12015</v>
      </c>
      <c r="AB3" s="125">
        <v>97325.686249999999</v>
      </c>
      <c r="AC3" s="125">
        <v>93656.849000000002</v>
      </c>
      <c r="AD3" s="125">
        <v>18719.264575000001</v>
      </c>
      <c r="AE3" s="127">
        <v>8794.8610000000008</v>
      </c>
    </row>
    <row r="4" spans="1:31" x14ac:dyDescent="0.3">
      <c r="A4" s="117" t="s">
        <v>2778</v>
      </c>
      <c r="B4" s="122">
        <v>47.4</v>
      </c>
      <c r="C4" s="126">
        <v>222320.57371623666</v>
      </c>
    </row>
    <row r="5" spans="1:31" x14ac:dyDescent="0.3">
      <c r="A5" s="117" t="s">
        <v>2779</v>
      </c>
      <c r="B5" s="122">
        <v>22.28</v>
      </c>
      <c r="C5" s="126">
        <v>54706.989974999997</v>
      </c>
    </row>
    <row r="6" spans="1:31" x14ac:dyDescent="0.3">
      <c r="A6" s="117" t="s">
        <v>2780</v>
      </c>
      <c r="B6" s="122">
        <v>45.68</v>
      </c>
      <c r="C6" s="126">
        <v>187763.07103248246</v>
      </c>
    </row>
    <row r="7" spans="1:31" x14ac:dyDescent="0.3">
      <c r="A7" s="117" t="s">
        <v>2781</v>
      </c>
      <c r="B7" s="122">
        <v>57.67</v>
      </c>
      <c r="C7" s="126">
        <v>214046.95</v>
      </c>
    </row>
    <row r="8" spans="1:31" x14ac:dyDescent="0.3">
      <c r="A8" s="118" t="s">
        <v>2782</v>
      </c>
      <c r="B8" s="122">
        <v>63</v>
      </c>
      <c r="C8" s="126">
        <v>200409.97280603502</v>
      </c>
    </row>
    <row r="9" spans="1:31" x14ac:dyDescent="0.3">
      <c r="A9" s="117" t="s">
        <v>2783</v>
      </c>
      <c r="B9" s="122">
        <v>12.8</v>
      </c>
      <c r="C9" s="126">
        <v>53218.851699999999</v>
      </c>
    </row>
    <row r="10" spans="1:31" x14ac:dyDescent="0.3">
      <c r="A10" s="117" t="s">
        <v>2784</v>
      </c>
      <c r="B10" s="122">
        <v>14.35</v>
      </c>
      <c r="C10" s="126">
        <v>41598.902799999996</v>
      </c>
    </row>
    <row r="11" spans="1:31" x14ac:dyDescent="0.3">
      <c r="A11" s="117" t="s">
        <v>2785</v>
      </c>
      <c r="B11" s="122">
        <v>19.331609195402297</v>
      </c>
      <c r="C11" s="126">
        <v>72905.662549999994</v>
      </c>
    </row>
    <row r="12" spans="1:31" x14ac:dyDescent="0.3">
      <c r="A12" s="117" t="s">
        <v>2786</v>
      </c>
      <c r="B12" s="122">
        <v>39.11913793103448</v>
      </c>
      <c r="C12" s="126">
        <v>128402.15773767303</v>
      </c>
    </row>
    <row r="13" spans="1:31" x14ac:dyDescent="0.3">
      <c r="A13" s="117" t="s">
        <v>2787</v>
      </c>
      <c r="B13" s="122">
        <v>30.7</v>
      </c>
      <c r="C13" s="126">
        <v>93945.866400000014</v>
      </c>
    </row>
    <row r="14" spans="1:31" x14ac:dyDescent="0.3">
      <c r="A14" s="117" t="s">
        <v>2788</v>
      </c>
      <c r="B14" s="122">
        <v>62.08</v>
      </c>
      <c r="C14" s="126">
        <v>195472.27465000001</v>
      </c>
    </row>
    <row r="15" spans="1:31" x14ac:dyDescent="0.3">
      <c r="A15" s="117" t="s">
        <v>2790</v>
      </c>
      <c r="B15" s="122">
        <v>50.95</v>
      </c>
      <c r="C15" s="126">
        <v>158461.79819097868</v>
      </c>
    </row>
    <row r="16" spans="1:31" x14ac:dyDescent="0.3">
      <c r="A16" s="117" t="s">
        <v>2791</v>
      </c>
      <c r="B16" s="122">
        <v>40.011321839080466</v>
      </c>
      <c r="C16" s="126">
        <v>114440.76757500001</v>
      </c>
    </row>
    <row r="17" spans="1:3" x14ac:dyDescent="0.3">
      <c r="A17" s="117" t="s">
        <v>2792</v>
      </c>
      <c r="B17" s="122">
        <v>107.38252873563218</v>
      </c>
      <c r="C17" s="126">
        <v>393554.59006249998</v>
      </c>
    </row>
    <row r="18" spans="1:3" x14ac:dyDescent="0.3">
      <c r="A18" s="117" t="s">
        <v>2793</v>
      </c>
      <c r="B18" s="122">
        <v>70.531609195402297</v>
      </c>
      <c r="C18" s="126">
        <v>78538.4277</v>
      </c>
    </row>
    <row r="19" spans="1:3" x14ac:dyDescent="0.3">
      <c r="A19" s="117" t="s">
        <v>2794</v>
      </c>
      <c r="B19" s="122">
        <v>16</v>
      </c>
      <c r="C19" s="126">
        <v>39290.808574999995</v>
      </c>
    </row>
    <row r="20" spans="1:3" x14ac:dyDescent="0.3">
      <c r="A20" s="117" t="s">
        <v>2795</v>
      </c>
      <c r="B20" s="122">
        <v>8</v>
      </c>
      <c r="C20" s="126">
        <v>34345.417799999996</v>
      </c>
    </row>
    <row r="21" spans="1:3" x14ac:dyDescent="0.3">
      <c r="A21" s="117" t="s">
        <v>2796</v>
      </c>
      <c r="B21" s="122">
        <v>24.5</v>
      </c>
      <c r="C21" s="126">
        <v>92002.500924999971</v>
      </c>
    </row>
    <row r="22" spans="1:3" x14ac:dyDescent="0.3">
      <c r="A22" s="119" t="s">
        <v>86</v>
      </c>
      <c r="B22" s="122">
        <v>128.65</v>
      </c>
      <c r="C22" s="125">
        <v>111021.92709999999</v>
      </c>
    </row>
    <row r="23" spans="1:3" x14ac:dyDescent="0.3">
      <c r="A23" s="119" t="s">
        <v>87</v>
      </c>
      <c r="B23" s="122">
        <v>20</v>
      </c>
      <c r="C23" s="125">
        <v>105219.12015</v>
      </c>
    </row>
    <row r="24" spans="1:3" x14ac:dyDescent="0.3">
      <c r="A24" s="119" t="s">
        <v>88</v>
      </c>
      <c r="B24" s="122">
        <v>15.25</v>
      </c>
      <c r="C24" s="125">
        <v>97325.686249999999</v>
      </c>
    </row>
    <row r="25" spans="1:3" x14ac:dyDescent="0.3">
      <c r="A25" s="119" t="s">
        <v>2799</v>
      </c>
      <c r="B25" s="122"/>
      <c r="C25" s="125">
        <v>93656.849000000002</v>
      </c>
    </row>
    <row r="26" spans="1:3" x14ac:dyDescent="0.3">
      <c r="A26" s="120" t="s">
        <v>2774</v>
      </c>
      <c r="B26" s="123">
        <v>4.5</v>
      </c>
      <c r="C26" s="125">
        <v>18719.264575000001</v>
      </c>
    </row>
    <row r="27" spans="1:3" ht="16.2" thickBot="1" x14ac:dyDescent="0.35">
      <c r="A27" s="121" t="s">
        <v>2775</v>
      </c>
      <c r="B27" s="124">
        <v>2</v>
      </c>
      <c r="C27" s="127">
        <v>8794.8610000000008</v>
      </c>
    </row>
  </sheetData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9"/>
  <sheetViews>
    <sheetView zoomScale="80" zoomScaleNormal="80" workbookViewId="0">
      <selection activeCell="ED24" sqref="ED24"/>
    </sheetView>
  </sheetViews>
  <sheetFormatPr defaultRowHeight="15.6" x14ac:dyDescent="0.3"/>
  <cols>
    <col min="1" max="1" width="13.77734375" style="544" customWidth="1"/>
    <col min="2" max="2" width="31.21875" style="544" bestFit="1" customWidth="1"/>
    <col min="3" max="6" width="22.44140625" style="544" customWidth="1"/>
    <col min="7" max="7" width="22.44140625" style="545" customWidth="1"/>
    <col min="8" max="8" width="14.109375" style="544" bestFit="1" customWidth="1"/>
    <col min="9" max="9" width="8.88671875" style="544"/>
  </cols>
  <sheetData>
    <row r="1" spans="1:8" ht="18" x14ac:dyDescent="0.35">
      <c r="B1" s="98" t="s">
        <v>3845</v>
      </c>
    </row>
    <row r="2" spans="1:8" x14ac:dyDescent="0.3">
      <c r="B2" s="546"/>
    </row>
    <row r="3" spans="1:8" x14ac:dyDescent="0.3">
      <c r="G3" s="547" t="s">
        <v>38</v>
      </c>
    </row>
    <row r="4" spans="1:8" ht="124.8" x14ac:dyDescent="0.3">
      <c r="B4" s="1214" t="s">
        <v>3639</v>
      </c>
      <c r="C4" s="1215" t="s">
        <v>3640</v>
      </c>
      <c r="D4" s="670" t="s">
        <v>3641</v>
      </c>
      <c r="E4" s="670" t="s">
        <v>3642</v>
      </c>
      <c r="F4" s="670" t="s">
        <v>3643</v>
      </c>
      <c r="G4" s="1216" t="s">
        <v>3644</v>
      </c>
    </row>
    <row r="5" spans="1:8" x14ac:dyDescent="0.3">
      <c r="B5" s="1214"/>
      <c r="C5" s="1215"/>
      <c r="D5" s="548">
        <v>0.03</v>
      </c>
      <c r="E5" s="548" t="s">
        <v>3645</v>
      </c>
      <c r="F5" s="548">
        <v>0.01</v>
      </c>
      <c r="G5" s="1216"/>
    </row>
    <row r="6" spans="1:8" x14ac:dyDescent="0.3">
      <c r="A6" s="669"/>
      <c r="B6" s="669"/>
      <c r="C6" s="670" t="s">
        <v>39</v>
      </c>
      <c r="D6" s="670" t="s">
        <v>40</v>
      </c>
      <c r="E6" s="670" t="s">
        <v>41</v>
      </c>
      <c r="F6" s="670" t="s">
        <v>42</v>
      </c>
      <c r="G6" s="671" t="s">
        <v>3646</v>
      </c>
    </row>
    <row r="7" spans="1:8" x14ac:dyDescent="0.3">
      <c r="A7" s="549" t="s">
        <v>4</v>
      </c>
      <c r="B7" s="549" t="s">
        <v>776</v>
      </c>
      <c r="C7" s="550">
        <v>490016</v>
      </c>
      <c r="D7" s="551">
        <v>14700.48</v>
      </c>
      <c r="E7" s="552">
        <v>22507585</v>
      </c>
      <c r="F7" s="551">
        <v>225075.85</v>
      </c>
      <c r="G7" s="551">
        <v>239776.33000000002</v>
      </c>
      <c r="H7" s="553"/>
    </row>
    <row r="8" spans="1:8" x14ac:dyDescent="0.3">
      <c r="A8" s="549" t="s">
        <v>5</v>
      </c>
      <c r="B8" s="549" t="s">
        <v>777</v>
      </c>
      <c r="C8" s="550">
        <v>337075268</v>
      </c>
      <c r="D8" s="551">
        <v>10112258.039999999</v>
      </c>
      <c r="E8" s="552">
        <v>338357893</v>
      </c>
      <c r="F8" s="551">
        <v>3383578.93</v>
      </c>
      <c r="G8" s="551">
        <v>13495836.969999999</v>
      </c>
      <c r="H8" s="553"/>
    </row>
    <row r="9" spans="1:8" x14ac:dyDescent="0.3">
      <c r="A9" s="549" t="s">
        <v>6</v>
      </c>
      <c r="B9" s="549" t="s">
        <v>778</v>
      </c>
      <c r="C9" s="550">
        <v>306266259</v>
      </c>
      <c r="D9" s="551">
        <v>9187987.7699999996</v>
      </c>
      <c r="E9" s="552">
        <v>465745769</v>
      </c>
      <c r="F9" s="551">
        <v>4657457.6900000004</v>
      </c>
      <c r="G9" s="551">
        <v>13845445.460000001</v>
      </c>
      <c r="H9" s="553"/>
    </row>
    <row r="10" spans="1:8" x14ac:dyDescent="0.3">
      <c r="A10" s="549" t="s">
        <v>7</v>
      </c>
      <c r="B10" s="549" t="s">
        <v>779</v>
      </c>
      <c r="C10" s="550">
        <v>182023210</v>
      </c>
      <c r="D10" s="551">
        <v>5460696.2999999998</v>
      </c>
      <c r="E10" s="552">
        <v>235586950</v>
      </c>
      <c r="F10" s="551">
        <v>2355869.5</v>
      </c>
      <c r="G10" s="551">
        <v>7816565.7999999998</v>
      </c>
      <c r="H10" s="553"/>
    </row>
    <row r="11" spans="1:8" x14ac:dyDescent="0.3">
      <c r="A11" s="549" t="s">
        <v>8</v>
      </c>
      <c r="B11" s="549" t="s">
        <v>780</v>
      </c>
      <c r="C11" s="550">
        <v>378373920</v>
      </c>
      <c r="D11" s="551">
        <v>11351217.6</v>
      </c>
      <c r="E11" s="552">
        <v>21064524</v>
      </c>
      <c r="F11" s="551">
        <v>210645.24</v>
      </c>
      <c r="G11" s="551">
        <v>11561862.84</v>
      </c>
      <c r="H11" s="553"/>
    </row>
    <row r="12" spans="1:8" x14ac:dyDescent="0.3">
      <c r="A12" s="549" t="s">
        <v>9</v>
      </c>
      <c r="B12" s="549" t="s">
        <v>781</v>
      </c>
      <c r="C12" s="550">
        <v>542541338</v>
      </c>
      <c r="D12" s="551">
        <v>16276240.139999999</v>
      </c>
      <c r="E12" s="552">
        <v>318998550</v>
      </c>
      <c r="F12" s="551">
        <v>3189985.5</v>
      </c>
      <c r="G12" s="551">
        <v>19466225.640000001</v>
      </c>
      <c r="H12" s="553"/>
    </row>
    <row r="13" spans="1:8" x14ac:dyDescent="0.3">
      <c r="A13" s="549" t="s">
        <v>10</v>
      </c>
      <c r="B13" s="549" t="s">
        <v>782</v>
      </c>
      <c r="C13" s="550">
        <v>456347</v>
      </c>
      <c r="D13" s="551">
        <v>13690.41</v>
      </c>
      <c r="E13" s="552"/>
      <c r="F13" s="551">
        <v>0</v>
      </c>
      <c r="G13" s="551">
        <v>13690.41</v>
      </c>
      <c r="H13" s="553"/>
    </row>
    <row r="14" spans="1:8" x14ac:dyDescent="0.3">
      <c r="A14" s="549" t="s">
        <v>11</v>
      </c>
      <c r="B14" s="549" t="s">
        <v>783</v>
      </c>
      <c r="C14" s="550">
        <v>1998464</v>
      </c>
      <c r="D14" s="551">
        <v>59953.919999999998</v>
      </c>
      <c r="E14" s="552">
        <v>31783649</v>
      </c>
      <c r="F14" s="551">
        <v>317836.49</v>
      </c>
      <c r="G14" s="551">
        <v>377790.41</v>
      </c>
      <c r="H14" s="553"/>
    </row>
    <row r="15" spans="1:8" x14ac:dyDescent="0.3">
      <c r="A15" s="549" t="s">
        <v>3267</v>
      </c>
      <c r="B15" s="549" t="s">
        <v>3436</v>
      </c>
      <c r="C15" s="550">
        <v>51939347</v>
      </c>
      <c r="D15" s="551">
        <v>1558180.41</v>
      </c>
      <c r="E15" s="552">
        <v>101056790</v>
      </c>
      <c r="F15" s="551">
        <v>1010567.9</v>
      </c>
      <c r="G15" s="551">
        <v>2568748.31</v>
      </c>
      <c r="H15" s="553"/>
    </row>
    <row r="16" spans="1:8" x14ac:dyDescent="0.3">
      <c r="A16" s="549" t="s">
        <v>784</v>
      </c>
      <c r="B16" s="549" t="s">
        <v>3496</v>
      </c>
      <c r="C16" s="550">
        <v>3179247</v>
      </c>
      <c r="D16" s="551">
        <v>95377.41</v>
      </c>
      <c r="E16" s="552"/>
      <c r="F16" s="551">
        <v>0</v>
      </c>
      <c r="G16" s="551">
        <v>95377.41</v>
      </c>
      <c r="H16" s="553"/>
    </row>
    <row r="17" spans="1:8" x14ac:dyDescent="0.3">
      <c r="A17" s="549" t="s">
        <v>2683</v>
      </c>
      <c r="B17" s="549" t="s">
        <v>3647</v>
      </c>
      <c r="C17" s="550">
        <v>41506953</v>
      </c>
      <c r="D17" s="551">
        <v>1245208.5899999999</v>
      </c>
      <c r="E17" s="552">
        <v>19318203</v>
      </c>
      <c r="F17" s="551">
        <v>193182.03</v>
      </c>
      <c r="G17" s="551">
        <v>1438390.6199999999</v>
      </c>
      <c r="H17" s="553"/>
    </row>
    <row r="18" spans="1:8" x14ac:dyDescent="0.3">
      <c r="B18" s="554" t="s">
        <v>2602</v>
      </c>
      <c r="C18" s="555">
        <v>1845850369</v>
      </c>
      <c r="D18" s="555">
        <v>55375511.069999993</v>
      </c>
      <c r="E18" s="555">
        <v>1554419913</v>
      </c>
      <c r="F18" s="555">
        <v>15544199.130000001</v>
      </c>
      <c r="G18" s="555">
        <v>70919710.199999988</v>
      </c>
      <c r="H18" s="553"/>
    </row>
    <row r="20" spans="1:8" x14ac:dyDescent="0.3">
      <c r="B20" s="556" t="s">
        <v>3648</v>
      </c>
      <c r="C20" s="557"/>
      <c r="D20" s="558"/>
      <c r="E20" s="558"/>
    </row>
    <row r="21" spans="1:8" x14ac:dyDescent="0.3">
      <c r="B21" s="559" t="s">
        <v>60</v>
      </c>
      <c r="C21" s="559" t="s">
        <v>3649</v>
      </c>
      <c r="D21" s="558"/>
      <c r="E21" s="558"/>
    </row>
    <row r="22" spans="1:8" x14ac:dyDescent="0.3">
      <c r="B22" s="560" t="s">
        <v>3656</v>
      </c>
      <c r="C22" s="560" t="s">
        <v>3657</v>
      </c>
      <c r="D22" s="558"/>
      <c r="E22" s="561"/>
      <c r="F22" s="562"/>
    </row>
    <row r="23" spans="1:8" x14ac:dyDescent="0.3">
      <c r="B23" s="560" t="s">
        <v>3650</v>
      </c>
      <c r="C23" s="560" t="s">
        <v>3651</v>
      </c>
      <c r="D23" s="558"/>
      <c r="E23" s="561"/>
      <c r="F23" s="562"/>
    </row>
    <row r="24" spans="1:8" x14ac:dyDescent="0.3">
      <c r="B24" s="560" t="s">
        <v>3652</v>
      </c>
      <c r="C24" s="560" t="s">
        <v>3653</v>
      </c>
      <c r="D24" s="558"/>
      <c r="E24" s="561"/>
      <c r="F24" s="562"/>
    </row>
    <row r="25" spans="1:8" x14ac:dyDescent="0.3">
      <c r="B25" s="560" t="s">
        <v>3654</v>
      </c>
      <c r="C25" s="560" t="s">
        <v>3655</v>
      </c>
      <c r="D25" s="558"/>
      <c r="E25" s="561"/>
      <c r="F25" s="562"/>
    </row>
    <row r="26" spans="1:8" x14ac:dyDescent="0.3">
      <c r="B26" s="560" t="s">
        <v>3658</v>
      </c>
      <c r="C26" s="560" t="s">
        <v>3659</v>
      </c>
      <c r="D26" s="558"/>
      <c r="E26" s="561"/>
      <c r="F26" s="562"/>
    </row>
    <row r="27" spans="1:8" x14ac:dyDescent="0.3">
      <c r="B27" s="560" t="s">
        <v>3662</v>
      </c>
      <c r="C27" s="560" t="s">
        <v>3663</v>
      </c>
      <c r="D27" s="558"/>
      <c r="E27" s="561"/>
      <c r="F27" s="562"/>
    </row>
    <row r="28" spans="1:8" x14ac:dyDescent="0.3">
      <c r="B28" s="560" t="s">
        <v>3664</v>
      </c>
      <c r="C28" s="560" t="s">
        <v>3665</v>
      </c>
      <c r="D28" s="558"/>
      <c r="E28" s="561"/>
      <c r="F28" s="562"/>
    </row>
    <row r="29" spans="1:8" x14ac:dyDescent="0.3">
      <c r="B29" s="560" t="s">
        <v>3666</v>
      </c>
      <c r="C29" s="560" t="s">
        <v>3667</v>
      </c>
      <c r="D29" s="558"/>
      <c r="E29" s="561"/>
      <c r="F29" s="562"/>
    </row>
    <row r="30" spans="1:8" x14ac:dyDescent="0.3">
      <c r="B30" s="560" t="s">
        <v>3668</v>
      </c>
      <c r="C30" s="560" t="s">
        <v>3669</v>
      </c>
      <c r="D30" s="558"/>
      <c r="E30" s="561"/>
      <c r="F30" s="562"/>
    </row>
    <row r="31" spans="1:8" x14ac:dyDescent="0.3">
      <c r="B31" s="560" t="s">
        <v>3670</v>
      </c>
      <c r="C31" s="560" t="s">
        <v>3671</v>
      </c>
      <c r="D31" s="558"/>
      <c r="E31" s="561"/>
      <c r="F31" s="562"/>
    </row>
    <row r="32" spans="1:8" x14ac:dyDescent="0.3">
      <c r="B32" s="560" t="s">
        <v>3672</v>
      </c>
      <c r="C32" s="560" t="s">
        <v>3673</v>
      </c>
      <c r="D32" s="558"/>
      <c r="E32" s="561"/>
      <c r="F32" s="562"/>
    </row>
    <row r="33" spans="2:6" x14ac:dyDescent="0.3">
      <c r="B33" s="560" t="s">
        <v>3674</v>
      </c>
      <c r="C33" s="560" t="s">
        <v>3675</v>
      </c>
      <c r="D33" s="558"/>
      <c r="E33" s="561"/>
      <c r="F33" s="562"/>
    </row>
    <row r="34" spans="2:6" x14ac:dyDescent="0.3">
      <c r="B34" s="560" t="s">
        <v>3676</v>
      </c>
      <c r="C34" s="560" t="s">
        <v>3677</v>
      </c>
      <c r="D34" s="558"/>
      <c r="E34" s="561"/>
      <c r="F34" s="562"/>
    </row>
    <row r="35" spans="2:6" x14ac:dyDescent="0.3">
      <c r="B35" s="560" t="s">
        <v>3678</v>
      </c>
      <c r="C35" s="560" t="s">
        <v>3679</v>
      </c>
      <c r="D35" s="558"/>
      <c r="E35" s="561"/>
      <c r="F35" s="562"/>
    </row>
    <row r="36" spans="2:6" x14ac:dyDescent="0.3">
      <c r="B36" s="560" t="s">
        <v>3680</v>
      </c>
      <c r="C36" s="560" t="s">
        <v>3681</v>
      </c>
      <c r="D36" s="558"/>
      <c r="E36" s="561"/>
      <c r="F36" s="562"/>
    </row>
    <row r="37" spans="2:6" x14ac:dyDescent="0.3">
      <c r="B37" s="560" t="s">
        <v>3682</v>
      </c>
      <c r="C37" s="560" t="s">
        <v>3683</v>
      </c>
      <c r="D37" s="558"/>
      <c r="E37" s="561"/>
      <c r="F37" s="562"/>
    </row>
    <row r="38" spans="2:6" x14ac:dyDescent="0.3">
      <c r="B38" s="560" t="s">
        <v>3684</v>
      </c>
      <c r="C38" s="560" t="s">
        <v>3685</v>
      </c>
      <c r="D38" s="558"/>
      <c r="E38" s="561"/>
      <c r="F38" s="562"/>
    </row>
    <row r="39" spans="2:6" x14ac:dyDescent="0.3">
      <c r="B39" s="560" t="s">
        <v>3686</v>
      </c>
      <c r="C39" s="560" t="s">
        <v>3687</v>
      </c>
      <c r="D39" s="558"/>
      <c r="E39" s="561"/>
      <c r="F39" s="562"/>
    </row>
    <row r="40" spans="2:6" x14ac:dyDescent="0.3">
      <c r="B40" s="560" t="s">
        <v>3688</v>
      </c>
      <c r="C40" s="560" t="s">
        <v>3689</v>
      </c>
      <c r="D40" s="558"/>
      <c r="E40" s="561"/>
      <c r="F40" s="562"/>
    </row>
    <row r="41" spans="2:6" x14ac:dyDescent="0.3">
      <c r="B41" s="560" t="s">
        <v>3690</v>
      </c>
      <c r="C41" s="560" t="s">
        <v>3691</v>
      </c>
      <c r="D41" s="558"/>
      <c r="E41" s="561"/>
      <c r="F41" s="562"/>
    </row>
    <row r="42" spans="2:6" x14ac:dyDescent="0.3">
      <c r="B42" s="560" t="s">
        <v>3846</v>
      </c>
      <c r="C42" s="560" t="s">
        <v>3847</v>
      </c>
      <c r="D42" s="558"/>
      <c r="E42" s="561"/>
      <c r="F42" s="562"/>
    </row>
    <row r="43" spans="2:6" x14ac:dyDescent="0.3">
      <c r="B43" s="560" t="s">
        <v>3848</v>
      </c>
      <c r="C43" s="560" t="s">
        <v>3849</v>
      </c>
      <c r="D43" s="558"/>
      <c r="E43" s="561"/>
      <c r="F43" s="562"/>
    </row>
    <row r="44" spans="2:6" x14ac:dyDescent="0.3">
      <c r="B44" s="560" t="s">
        <v>3692</v>
      </c>
      <c r="C44" s="560" t="s">
        <v>3693</v>
      </c>
      <c r="D44" s="558"/>
      <c r="E44" s="561"/>
      <c r="F44" s="562"/>
    </row>
    <row r="45" spans="2:6" x14ac:dyDescent="0.3">
      <c r="B45" s="560" t="s">
        <v>3694</v>
      </c>
      <c r="C45" s="560" t="s">
        <v>3695</v>
      </c>
      <c r="D45" s="558"/>
      <c r="E45" s="561"/>
      <c r="F45" s="562"/>
    </row>
    <row r="46" spans="2:6" x14ac:dyDescent="0.3">
      <c r="B46" s="560" t="s">
        <v>3696</v>
      </c>
      <c r="C46" s="560" t="s">
        <v>3697</v>
      </c>
      <c r="D46" s="558"/>
      <c r="E46" s="561"/>
      <c r="F46" s="562"/>
    </row>
    <row r="47" spans="2:6" x14ac:dyDescent="0.3">
      <c r="B47" s="560" t="s">
        <v>3698</v>
      </c>
      <c r="C47" s="560" t="s">
        <v>3699</v>
      </c>
      <c r="D47" s="558"/>
      <c r="E47" s="561"/>
      <c r="F47" s="562"/>
    </row>
    <row r="48" spans="2:6" x14ac:dyDescent="0.3">
      <c r="B48" s="560" t="s">
        <v>3700</v>
      </c>
      <c r="C48" s="560" t="s">
        <v>3701</v>
      </c>
      <c r="D48" s="558"/>
      <c r="E48" s="561"/>
      <c r="F48" s="562"/>
    </row>
    <row r="49" spans="2:5" x14ac:dyDescent="0.3">
      <c r="B49" s="558" t="s">
        <v>3702</v>
      </c>
      <c r="C49" s="558" t="s">
        <v>3703</v>
      </c>
      <c r="D49" s="558"/>
      <c r="E49" s="558"/>
    </row>
    <row r="50" spans="2:5" x14ac:dyDescent="0.3">
      <c r="B50" s="558" t="s">
        <v>3850</v>
      </c>
      <c r="C50" s="558" t="s">
        <v>3851</v>
      </c>
      <c r="D50" s="558"/>
      <c r="E50" s="558"/>
    </row>
    <row r="51" spans="2:5" x14ac:dyDescent="0.3">
      <c r="B51" s="558" t="s">
        <v>3852</v>
      </c>
      <c r="C51" s="558" t="s">
        <v>3853</v>
      </c>
      <c r="D51" s="558"/>
      <c r="E51" s="558"/>
    </row>
    <row r="52" spans="2:5" x14ac:dyDescent="0.3">
      <c r="B52" s="558" t="s">
        <v>3854</v>
      </c>
      <c r="C52" s="558" t="s">
        <v>3855</v>
      </c>
      <c r="D52" s="558"/>
      <c r="E52" s="558"/>
    </row>
    <row r="53" spans="2:5" x14ac:dyDescent="0.3">
      <c r="B53" s="558" t="s">
        <v>3704</v>
      </c>
      <c r="C53" s="558" t="s">
        <v>3705</v>
      </c>
      <c r="D53" s="558"/>
      <c r="E53" s="558"/>
    </row>
    <row r="54" spans="2:5" x14ac:dyDescent="0.3">
      <c r="B54" s="558" t="s">
        <v>3706</v>
      </c>
      <c r="C54" s="558" t="s">
        <v>3707</v>
      </c>
      <c r="D54" s="558"/>
      <c r="E54" s="558"/>
    </row>
    <row r="55" spans="2:5" x14ac:dyDescent="0.3">
      <c r="B55" s="558" t="s">
        <v>3856</v>
      </c>
      <c r="C55" s="558" t="s">
        <v>3857</v>
      </c>
      <c r="D55" s="558"/>
      <c r="E55" s="558"/>
    </row>
    <row r="56" spans="2:5" x14ac:dyDescent="0.3">
      <c r="B56" s="558" t="s">
        <v>3708</v>
      </c>
      <c r="C56" s="558" t="s">
        <v>3709</v>
      </c>
      <c r="D56" s="558"/>
      <c r="E56" s="558"/>
    </row>
    <row r="57" spans="2:5" x14ac:dyDescent="0.3">
      <c r="B57" s="558" t="s">
        <v>3710</v>
      </c>
      <c r="C57" s="558" t="s">
        <v>3711</v>
      </c>
      <c r="D57" s="558"/>
      <c r="E57" s="558"/>
    </row>
    <row r="58" spans="2:5" x14ac:dyDescent="0.3">
      <c r="B58" s="558" t="s">
        <v>3858</v>
      </c>
      <c r="C58" s="558" t="s">
        <v>3859</v>
      </c>
      <c r="D58" s="558"/>
      <c r="E58" s="558"/>
    </row>
    <row r="59" spans="2:5" x14ac:dyDescent="0.3">
      <c r="B59" s="558" t="s">
        <v>3860</v>
      </c>
      <c r="C59" s="558" t="s">
        <v>3861</v>
      </c>
      <c r="D59" s="558"/>
      <c r="E59" s="558"/>
    </row>
    <row r="60" spans="2:5" x14ac:dyDescent="0.3">
      <c r="B60" s="558" t="s">
        <v>3712</v>
      </c>
      <c r="C60" s="558" t="s">
        <v>3713</v>
      </c>
      <c r="D60" s="558"/>
      <c r="E60" s="558"/>
    </row>
    <row r="61" spans="2:5" x14ac:dyDescent="0.3">
      <c r="B61" s="558" t="s">
        <v>3716</v>
      </c>
      <c r="C61" s="558" t="s">
        <v>3717</v>
      </c>
      <c r="D61" s="558"/>
      <c r="E61" s="558"/>
    </row>
    <row r="62" spans="2:5" x14ac:dyDescent="0.3">
      <c r="B62" s="558" t="s">
        <v>3718</v>
      </c>
      <c r="C62" s="558" t="s">
        <v>3719</v>
      </c>
      <c r="D62" s="558"/>
      <c r="E62" s="558"/>
    </row>
    <row r="63" spans="2:5" x14ac:dyDescent="0.3">
      <c r="B63" s="558" t="s">
        <v>3720</v>
      </c>
      <c r="C63" s="558" t="s">
        <v>3721</v>
      </c>
      <c r="D63" s="558"/>
      <c r="E63" s="558"/>
    </row>
    <row r="64" spans="2:5" x14ac:dyDescent="0.3">
      <c r="B64" s="558" t="s">
        <v>3660</v>
      </c>
      <c r="C64" s="558" t="s">
        <v>3661</v>
      </c>
      <c r="D64" s="558"/>
      <c r="E64" s="558"/>
    </row>
    <row r="65" spans="2:5" x14ac:dyDescent="0.3">
      <c r="B65" s="558" t="s">
        <v>3722</v>
      </c>
      <c r="C65" s="558" t="s">
        <v>3723</v>
      </c>
      <c r="D65" s="558"/>
      <c r="E65" s="558"/>
    </row>
    <row r="66" spans="2:5" x14ac:dyDescent="0.3">
      <c r="B66" s="558" t="s">
        <v>3724</v>
      </c>
      <c r="C66" s="558" t="s">
        <v>3725</v>
      </c>
      <c r="D66" s="558"/>
      <c r="E66" s="558"/>
    </row>
    <row r="67" spans="2:5" x14ac:dyDescent="0.3">
      <c r="B67" s="558" t="s">
        <v>3726</v>
      </c>
      <c r="C67" s="558" t="s">
        <v>3727</v>
      </c>
      <c r="D67" s="558"/>
      <c r="E67" s="558"/>
    </row>
    <row r="68" spans="2:5" x14ac:dyDescent="0.3">
      <c r="B68" s="558" t="s">
        <v>3352</v>
      </c>
      <c r="C68" s="558" t="s">
        <v>3862</v>
      </c>
      <c r="D68" s="558"/>
      <c r="E68" s="558"/>
    </row>
    <row r="69" spans="2:5" x14ac:dyDescent="0.3">
      <c r="B69" s="558" t="s">
        <v>3728</v>
      </c>
      <c r="C69" s="558" t="s">
        <v>3729</v>
      </c>
      <c r="D69" s="558"/>
      <c r="E69" s="558"/>
    </row>
    <row r="70" spans="2:5" x14ac:dyDescent="0.3">
      <c r="B70" s="558" t="s">
        <v>3730</v>
      </c>
      <c r="C70" s="558" t="s">
        <v>3731</v>
      </c>
      <c r="D70" s="558"/>
      <c r="E70" s="558"/>
    </row>
    <row r="71" spans="2:5" x14ac:dyDescent="0.3">
      <c r="B71" s="558" t="s">
        <v>3732</v>
      </c>
      <c r="C71" s="558" t="s">
        <v>3733</v>
      </c>
      <c r="D71" s="558"/>
      <c r="E71" s="558"/>
    </row>
    <row r="72" spans="2:5" x14ac:dyDescent="0.3">
      <c r="B72" s="558" t="s">
        <v>3734</v>
      </c>
      <c r="C72" s="558" t="s">
        <v>3735</v>
      </c>
      <c r="D72" s="558"/>
      <c r="E72" s="558"/>
    </row>
    <row r="73" spans="2:5" x14ac:dyDescent="0.3">
      <c r="B73" s="558" t="s">
        <v>3736</v>
      </c>
      <c r="C73" s="558" t="s">
        <v>3737</v>
      </c>
      <c r="D73" s="558"/>
      <c r="E73" s="558"/>
    </row>
    <row r="74" spans="2:5" x14ac:dyDescent="0.3">
      <c r="B74" s="558" t="s">
        <v>3714</v>
      </c>
      <c r="C74" s="558" t="s">
        <v>3715</v>
      </c>
      <c r="D74" s="558"/>
      <c r="E74" s="558"/>
    </row>
    <row r="75" spans="2:5" x14ac:dyDescent="0.3">
      <c r="B75" s="544" t="s">
        <v>3863</v>
      </c>
      <c r="C75" s="544" t="s">
        <v>3864</v>
      </c>
    </row>
    <row r="76" spans="2:5" x14ac:dyDescent="0.3">
      <c r="B76" s="544" t="s">
        <v>3865</v>
      </c>
      <c r="C76" s="544" t="s">
        <v>3711</v>
      </c>
    </row>
    <row r="77" spans="2:5" x14ac:dyDescent="0.3">
      <c r="B77" s="544" t="s">
        <v>930</v>
      </c>
      <c r="C77" s="544" t="s">
        <v>3866</v>
      </c>
    </row>
    <row r="78" spans="2:5" x14ac:dyDescent="0.3">
      <c r="B78" s="544" t="s">
        <v>3867</v>
      </c>
      <c r="C78" s="544" t="s">
        <v>3868</v>
      </c>
    </row>
    <row r="79" spans="2:5" x14ac:dyDescent="0.3">
      <c r="B79" s="544" t="s">
        <v>3869</v>
      </c>
      <c r="C79" s="544" t="s">
        <v>3870</v>
      </c>
    </row>
  </sheetData>
  <mergeCells count="3">
    <mergeCell ref="B4:B5"/>
    <mergeCell ref="C4:C5"/>
    <mergeCell ref="G4:G5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47"/>
  <sheetViews>
    <sheetView workbookViewId="0">
      <selection sqref="A1:V1048576"/>
    </sheetView>
  </sheetViews>
  <sheetFormatPr defaultRowHeight="15.6" outlineLevelCol="1" x14ac:dyDescent="0.3"/>
  <cols>
    <col min="1" max="1" width="6.21875" bestFit="1" customWidth="1" outlineLevel="1"/>
    <col min="2" max="2" width="8.109375" customWidth="1"/>
    <col min="3" max="3" width="10.21875" bestFit="1" customWidth="1" outlineLevel="1"/>
    <col min="4" max="4" width="4.21875" bestFit="1" customWidth="1" outlineLevel="1"/>
    <col min="5" max="5" width="11.44140625" bestFit="1" customWidth="1" outlineLevel="1"/>
    <col min="6" max="6" width="4.21875" bestFit="1" customWidth="1" outlineLevel="1"/>
    <col min="7" max="7" width="14" customWidth="1" outlineLevel="1"/>
    <col min="8" max="8" width="14.77734375" customWidth="1" outlineLevel="1"/>
    <col min="9" max="9" width="4.21875" bestFit="1" customWidth="1" outlineLevel="1"/>
    <col min="10" max="10" width="13.33203125" customWidth="1" outlineLevel="1"/>
    <col min="11" max="11" width="14.88671875" customWidth="1"/>
    <col min="12" max="12" width="17.21875" customWidth="1" outlineLevel="1"/>
    <col min="13" max="13" width="4.21875" bestFit="1" customWidth="1" outlineLevel="1"/>
    <col min="14" max="14" width="17.44140625" customWidth="1" outlineLevel="1"/>
    <col min="15" max="15" width="14.77734375" customWidth="1"/>
    <col min="16" max="16" width="16.44140625" customWidth="1"/>
    <col min="17" max="17" width="4.21875" bestFit="1" customWidth="1"/>
    <col min="18" max="18" width="13.33203125" bestFit="1" customWidth="1"/>
    <col min="19" max="23" width="8"/>
    <col min="24" max="28" width="9.109375" style="99"/>
    <col min="29" max="43" width="8.88671875" style="99"/>
  </cols>
  <sheetData>
    <row r="1" spans="1:43" ht="72.599999999999994" thickBot="1" x14ac:dyDescent="0.35">
      <c r="A1" s="472" t="s">
        <v>3439</v>
      </c>
      <c r="B1" s="473" t="s">
        <v>2800</v>
      </c>
      <c r="C1" s="472" t="s">
        <v>2641</v>
      </c>
      <c r="D1" s="474" t="s">
        <v>2642</v>
      </c>
      <c r="E1" s="475" t="s">
        <v>3562</v>
      </c>
      <c r="F1" s="474" t="s">
        <v>2642</v>
      </c>
      <c r="G1" s="476" t="s">
        <v>2643</v>
      </c>
      <c r="H1" s="477" t="s">
        <v>2644</v>
      </c>
      <c r="I1" s="478" t="s">
        <v>2642</v>
      </c>
      <c r="J1" s="478" t="s">
        <v>2645</v>
      </c>
      <c r="K1" s="479" t="s">
        <v>2649</v>
      </c>
      <c r="L1" s="472" t="s">
        <v>2650</v>
      </c>
      <c r="M1" s="480" t="s">
        <v>2642</v>
      </c>
      <c r="N1" s="480" t="s">
        <v>2646</v>
      </c>
      <c r="O1" s="475" t="s">
        <v>2651</v>
      </c>
      <c r="P1" s="481" t="s">
        <v>3563</v>
      </c>
      <c r="Q1" s="480" t="s">
        <v>2642</v>
      </c>
      <c r="R1" s="481" t="s">
        <v>3564</v>
      </c>
    </row>
    <row r="2" spans="1:43" ht="16.2" thickBot="1" x14ac:dyDescent="0.35">
      <c r="B2" s="131" t="s">
        <v>3565</v>
      </c>
      <c r="C2" s="482"/>
      <c r="D2" s="482"/>
      <c r="E2" s="482"/>
      <c r="F2" s="482"/>
      <c r="G2" s="482"/>
      <c r="H2" s="130"/>
      <c r="I2" s="130"/>
      <c r="J2" s="130"/>
      <c r="K2" s="130"/>
      <c r="L2" s="483"/>
      <c r="M2" s="482"/>
      <c r="N2" s="482"/>
      <c r="O2" s="482"/>
      <c r="P2" s="482"/>
      <c r="Q2" s="482"/>
      <c r="R2" s="484"/>
    </row>
    <row r="3" spans="1:43" ht="16.2" thickBot="1" x14ac:dyDescent="0.35">
      <c r="A3" s="134"/>
      <c r="B3" s="485"/>
      <c r="C3" s="472" t="s">
        <v>39</v>
      </c>
      <c r="D3" s="474" t="s">
        <v>40</v>
      </c>
      <c r="E3" s="475" t="s">
        <v>41</v>
      </c>
      <c r="F3" s="474" t="s">
        <v>42</v>
      </c>
      <c r="G3" s="476" t="s">
        <v>2647</v>
      </c>
      <c r="H3" s="486" t="s">
        <v>44</v>
      </c>
      <c r="I3" s="487" t="s">
        <v>45</v>
      </c>
      <c r="J3" s="487" t="s">
        <v>2648</v>
      </c>
      <c r="K3" s="488" t="s">
        <v>2652</v>
      </c>
      <c r="L3" s="486" t="s">
        <v>47</v>
      </c>
      <c r="M3" s="487" t="s">
        <v>48</v>
      </c>
      <c r="N3" s="489" t="s">
        <v>2653</v>
      </c>
      <c r="O3" s="487" t="s">
        <v>50</v>
      </c>
      <c r="P3" s="487" t="s">
        <v>2654</v>
      </c>
      <c r="Q3" s="487" t="s">
        <v>52</v>
      </c>
      <c r="R3" s="490" t="s">
        <v>2878</v>
      </c>
    </row>
    <row r="4" spans="1:43" x14ac:dyDescent="0.3">
      <c r="A4" s="105" t="s">
        <v>90</v>
      </c>
      <c r="B4" s="491" t="s">
        <v>2606</v>
      </c>
      <c r="C4" s="137">
        <v>17491.080000000002</v>
      </c>
      <c r="D4" s="138">
        <f t="shared" ref="D4:D13" si="0">C4/C$13</f>
        <v>8.6558832716054676E-2</v>
      </c>
      <c r="E4" s="492">
        <v>245643825.93229249</v>
      </c>
      <c r="F4" s="138">
        <f t="shared" ref="F4:F13" si="1">E4/E$13</f>
        <v>8.1214388336427537E-2</v>
      </c>
      <c r="G4" s="106">
        <f t="shared" ref="G4:G11" si="2">E4/C4</f>
        <v>14043.948454428913</v>
      </c>
      <c r="H4" s="139">
        <v>10570.571439458859</v>
      </c>
      <c r="I4" s="138">
        <f t="shared" ref="I4:I13" si="3">H4/H$13</f>
        <v>9.8799223907625564E-2</v>
      </c>
      <c r="J4" s="107">
        <f t="shared" ref="J4:J13" si="4">H4/C4</f>
        <v>0.6043406947689256</v>
      </c>
      <c r="K4" s="108">
        <f t="shared" ref="K4:K12" si="5">J4*E4</f>
        <v>148452560.42961866</v>
      </c>
      <c r="L4" s="139">
        <v>3325.0709333333334</v>
      </c>
      <c r="M4" s="138">
        <f t="shared" ref="M4:M13" si="6">L4/L$13</f>
        <v>0.11299121697513727</v>
      </c>
      <c r="N4" s="140">
        <f t="shared" ref="N4:N13" si="7">E4-K4</f>
        <v>97191265.502673835</v>
      </c>
      <c r="O4" s="91">
        <f>$N$13*M4*0.5+$N$13*I4*0.5</f>
        <v>150948996.50592071</v>
      </c>
      <c r="P4" s="91">
        <f>K4+O4</f>
        <v>299401556.93553936</v>
      </c>
      <c r="Q4" s="138">
        <f t="shared" ref="Q4:Q13" si="8">P4/P$13</f>
        <v>9.8987687645754718E-2</v>
      </c>
      <c r="R4" s="92">
        <f t="shared" ref="R4:R13" si="9">P4-E4</f>
        <v>53757731.003246874</v>
      </c>
    </row>
    <row r="5" spans="1:43" x14ac:dyDescent="0.3">
      <c r="A5" s="100" t="s">
        <v>2630</v>
      </c>
      <c r="B5" s="493" t="s">
        <v>5</v>
      </c>
      <c r="C5" s="143">
        <v>47323.076894852187</v>
      </c>
      <c r="D5" s="144">
        <f t="shared" si="0"/>
        <v>0.23418967248165937</v>
      </c>
      <c r="E5" s="494">
        <v>837561933.10698915</v>
      </c>
      <c r="F5" s="144">
        <f t="shared" si="1"/>
        <v>0.27691345317960109</v>
      </c>
      <c r="G5" s="109">
        <f t="shared" si="2"/>
        <v>17698.805489084742</v>
      </c>
      <c r="H5" s="145">
        <v>24606.6929695738</v>
      </c>
      <c r="I5" s="144">
        <f t="shared" si="3"/>
        <v>0.22998966349652467</v>
      </c>
      <c r="J5" s="101">
        <f t="shared" si="4"/>
        <v>0.51997238100658072</v>
      </c>
      <c r="K5" s="102">
        <f t="shared" si="5"/>
        <v>435509072.59811562</v>
      </c>
      <c r="L5" s="145">
        <v>8453.9442666666673</v>
      </c>
      <c r="M5" s="144">
        <f t="shared" si="6"/>
        <v>0.28727851828804624</v>
      </c>
      <c r="N5" s="146">
        <f t="shared" si="7"/>
        <v>402052860.50887352</v>
      </c>
      <c r="O5" s="93">
        <f t="shared" ref="O5:O13" si="10">$N$13*M5*0.5+$N$13*I5*0.5</f>
        <v>368671563.45382535</v>
      </c>
      <c r="P5" s="93">
        <f t="shared" ref="P5:P13" si="11">K5+O5</f>
        <v>804180636.05194092</v>
      </c>
      <c r="Q5" s="144">
        <f t="shared" si="8"/>
        <v>0.26587697948882905</v>
      </c>
      <c r="R5" s="94">
        <f t="shared" si="9"/>
        <v>-33381297.055048227</v>
      </c>
    </row>
    <row r="6" spans="1:43" x14ac:dyDescent="0.3">
      <c r="A6" s="100" t="s">
        <v>2629</v>
      </c>
      <c r="B6" s="495" t="s">
        <v>6</v>
      </c>
      <c r="C6" s="143">
        <v>13694.664769585172</v>
      </c>
      <c r="D6" s="144">
        <f t="shared" si="0"/>
        <v>6.7771355278974779E-2</v>
      </c>
      <c r="E6" s="95">
        <v>186722719.86743689</v>
      </c>
      <c r="F6" s="144">
        <f t="shared" si="1"/>
        <v>6.1733981812870174E-2</v>
      </c>
      <c r="G6" s="102">
        <f t="shared" si="2"/>
        <v>13634.705413317901</v>
      </c>
      <c r="H6" s="145">
        <v>8865.9398211129301</v>
      </c>
      <c r="I6" s="144">
        <f t="shared" si="3"/>
        <v>8.2866662275971767E-2</v>
      </c>
      <c r="J6" s="101">
        <f t="shared" si="4"/>
        <v>0.64740101129043481</v>
      </c>
      <c r="K6" s="102">
        <f t="shared" si="5"/>
        <v>120884477.67307921</v>
      </c>
      <c r="L6" s="145">
        <v>3864.3664666666664</v>
      </c>
      <c r="M6" s="144">
        <f t="shared" si="6"/>
        <v>0.13131733988870228</v>
      </c>
      <c r="N6" s="146">
        <f t="shared" si="7"/>
        <v>65838242.194357678</v>
      </c>
      <c r="O6" s="93">
        <f t="shared" si="10"/>
        <v>152654954.86775219</v>
      </c>
      <c r="P6" s="93">
        <f t="shared" si="11"/>
        <v>273539432.54083139</v>
      </c>
      <c r="Q6" s="144">
        <f t="shared" si="8"/>
        <v>9.0437191390352223E-2</v>
      </c>
      <c r="R6" s="94">
        <f t="shared" si="9"/>
        <v>86816712.673394501</v>
      </c>
    </row>
    <row r="7" spans="1:43" x14ac:dyDescent="0.3">
      <c r="A7" s="100" t="s">
        <v>2633</v>
      </c>
      <c r="B7" s="495" t="s">
        <v>7</v>
      </c>
      <c r="C7" s="143">
        <v>6184.4953293561903</v>
      </c>
      <c r="D7" s="144">
        <f t="shared" si="0"/>
        <v>3.0605468424303353E-2</v>
      </c>
      <c r="E7" s="95">
        <v>89363397.582657978</v>
      </c>
      <c r="F7" s="144">
        <f t="shared" si="1"/>
        <v>2.9545190671069362E-2</v>
      </c>
      <c r="G7" s="102">
        <f t="shared" si="2"/>
        <v>14449.58607349466</v>
      </c>
      <c r="H7" s="145">
        <v>3073.9387143070212</v>
      </c>
      <c r="I7" s="144">
        <f t="shared" si="3"/>
        <v>2.8730968902915387E-2</v>
      </c>
      <c r="J7" s="101">
        <f t="shared" si="4"/>
        <v>0.49703954010860579</v>
      </c>
      <c r="K7" s="102">
        <f t="shared" si="5"/>
        <v>44417142.037026815</v>
      </c>
      <c r="L7" s="145">
        <v>2003.0542666666668</v>
      </c>
      <c r="M7" s="144">
        <f t="shared" si="6"/>
        <v>6.8066980763931514E-2</v>
      </c>
      <c r="N7" s="146">
        <f t="shared" si="7"/>
        <v>44946255.545631163</v>
      </c>
      <c r="O7" s="93">
        <f t="shared" si="10"/>
        <v>68990617.825520396</v>
      </c>
      <c r="P7" s="93">
        <f t="shared" si="11"/>
        <v>113407759.86254722</v>
      </c>
      <c r="Q7" s="144">
        <f t="shared" si="8"/>
        <v>3.7494701179177622E-2</v>
      </c>
      <c r="R7" s="94">
        <f t="shared" si="9"/>
        <v>24044362.279889241</v>
      </c>
    </row>
    <row r="8" spans="1:43" x14ac:dyDescent="0.3">
      <c r="A8" s="100" t="s">
        <v>2631</v>
      </c>
      <c r="B8" s="495" t="s">
        <v>8</v>
      </c>
      <c r="C8" s="143">
        <v>80807.387430521427</v>
      </c>
      <c r="D8" s="144">
        <f t="shared" si="0"/>
        <v>0.39989486817394487</v>
      </c>
      <c r="E8" s="95">
        <v>1163172976.1707654</v>
      </c>
      <c r="F8" s="144">
        <f t="shared" si="1"/>
        <v>0.38456648128908705</v>
      </c>
      <c r="G8" s="102">
        <f t="shared" si="2"/>
        <v>14394.38909184964</v>
      </c>
      <c r="H8" s="145">
        <v>40164.466685844294</v>
      </c>
      <c r="I8" s="144">
        <f t="shared" si="3"/>
        <v>0.37540242360144754</v>
      </c>
      <c r="J8" s="101">
        <f t="shared" si="4"/>
        <v>0.49703954010860568</v>
      </c>
      <c r="K8" s="102">
        <f t="shared" si="5"/>
        <v>578142961.1426754</v>
      </c>
      <c r="L8" s="145">
        <v>4861.5418666666665</v>
      </c>
      <c r="M8" s="144">
        <f t="shared" si="6"/>
        <v>0.16520295142683486</v>
      </c>
      <c r="N8" s="146">
        <f t="shared" si="7"/>
        <v>585030015.02809</v>
      </c>
      <c r="O8" s="93">
        <f t="shared" si="10"/>
        <v>385304636.6308769</v>
      </c>
      <c r="P8" s="93">
        <f t="shared" si="11"/>
        <v>963447597.7735523</v>
      </c>
      <c r="Q8" s="144">
        <f t="shared" si="8"/>
        <v>0.31853358027792089</v>
      </c>
      <c r="R8" s="94">
        <f t="shared" si="9"/>
        <v>-199725378.3972131</v>
      </c>
    </row>
    <row r="9" spans="1:43" x14ac:dyDescent="0.3">
      <c r="A9" s="100" t="s">
        <v>2632</v>
      </c>
      <c r="B9" s="495" t="s">
        <v>9</v>
      </c>
      <c r="C9" s="143">
        <v>17739.746119912172</v>
      </c>
      <c r="D9" s="144">
        <f t="shared" si="0"/>
        <v>8.7789417052506633E-2</v>
      </c>
      <c r="E9" s="95">
        <v>259097785.38168815</v>
      </c>
      <c r="F9" s="144">
        <f t="shared" si="1"/>
        <v>8.5662515958763702E-2</v>
      </c>
      <c r="G9" s="102">
        <f t="shared" si="2"/>
        <v>14605.495683552146</v>
      </c>
      <c r="H9" s="145">
        <v>8817.35525308457</v>
      </c>
      <c r="I9" s="144">
        <f t="shared" si="3"/>
        <v>8.2412560277552754E-2</v>
      </c>
      <c r="J9" s="101">
        <f t="shared" si="4"/>
        <v>0.49703954010860579</v>
      </c>
      <c r="K9" s="102">
        <f t="shared" si="5"/>
        <v>128781844.08927253</v>
      </c>
      <c r="L9" s="145">
        <v>3245.6292666666664</v>
      </c>
      <c r="M9" s="144">
        <f t="shared" si="6"/>
        <v>0.11029166235655312</v>
      </c>
      <c r="N9" s="146">
        <f t="shared" si="7"/>
        <v>130315941.29241562</v>
      </c>
      <c r="O9" s="93">
        <f t="shared" si="10"/>
        <v>137345712.61964479</v>
      </c>
      <c r="P9" s="93">
        <f t="shared" si="11"/>
        <v>266127556.70891732</v>
      </c>
      <c r="Q9" s="144">
        <f t="shared" si="8"/>
        <v>8.7986688269299354E-2</v>
      </c>
      <c r="R9" s="94">
        <f t="shared" si="9"/>
        <v>7029771.327229172</v>
      </c>
    </row>
    <row r="10" spans="1:43" x14ac:dyDescent="0.3">
      <c r="A10" s="100" t="s">
        <v>2634</v>
      </c>
      <c r="B10" s="495" t="s">
        <v>10</v>
      </c>
      <c r="C10" s="143">
        <v>7568</v>
      </c>
      <c r="D10" s="144">
        <f t="shared" si="0"/>
        <v>3.74520753432665E-2</v>
      </c>
      <c r="E10" s="95">
        <v>117211966.66326553</v>
      </c>
      <c r="F10" s="144">
        <f t="shared" si="1"/>
        <v>3.8752442249009249E-2</v>
      </c>
      <c r="G10" s="102">
        <f t="shared" si="2"/>
        <v>15487.83914683741</v>
      </c>
      <c r="H10" s="145">
        <v>4973.5</v>
      </c>
      <c r="I10" s="144">
        <f t="shared" si="3"/>
        <v>4.6485466080888709E-2</v>
      </c>
      <c r="J10" s="101">
        <f t="shared" si="4"/>
        <v>0.65717494714587743</v>
      </c>
      <c r="K10" s="102">
        <f t="shared" si="5"/>
        <v>77028767.996795863</v>
      </c>
      <c r="L10" s="145">
        <v>1478.8333333333333</v>
      </c>
      <c r="M10" s="144">
        <f t="shared" si="6"/>
        <v>5.0253116816735624E-2</v>
      </c>
      <c r="N10" s="146">
        <f t="shared" si="7"/>
        <v>40183198.666469663</v>
      </c>
      <c r="O10" s="93">
        <f t="shared" si="10"/>
        <v>68948305.461456209</v>
      </c>
      <c r="P10" s="93">
        <f t="shared" si="11"/>
        <v>145977073.45825207</v>
      </c>
      <c r="Q10" s="144">
        <f t="shared" si="8"/>
        <v>4.826271813288497E-2</v>
      </c>
      <c r="R10" s="94">
        <f t="shared" si="9"/>
        <v>28765106.794986546</v>
      </c>
    </row>
    <row r="11" spans="1:43" x14ac:dyDescent="0.3">
      <c r="A11" s="100" t="s">
        <v>2635</v>
      </c>
      <c r="B11" s="495" t="s">
        <v>11</v>
      </c>
      <c r="C11" s="143">
        <v>10084</v>
      </c>
      <c r="D11" s="144">
        <f t="shared" si="0"/>
        <v>4.9903108847978245E-2</v>
      </c>
      <c r="E11" s="95">
        <v>105201332.55191405</v>
      </c>
      <c r="F11" s="144">
        <f t="shared" si="1"/>
        <v>3.4781504655996408E-2</v>
      </c>
      <c r="G11" s="102">
        <f t="shared" si="2"/>
        <v>10432.500253065653</v>
      </c>
      <c r="H11" s="145">
        <v>5322.2523958438414</v>
      </c>
      <c r="I11" s="144">
        <f t="shared" si="3"/>
        <v>4.9745125810983719E-2</v>
      </c>
      <c r="J11" s="101">
        <f t="shared" si="4"/>
        <v>0.52779178856047615</v>
      </c>
      <c r="K11" s="102">
        <f t="shared" si="5"/>
        <v>55524399.46652016</v>
      </c>
      <c r="L11" s="145">
        <v>1514</v>
      </c>
      <c r="M11" s="144">
        <f t="shared" si="6"/>
        <v>5.1448136274453556E-2</v>
      </c>
      <c r="N11" s="146">
        <f t="shared" si="7"/>
        <v>49676933.085393891</v>
      </c>
      <c r="O11" s="93">
        <f t="shared" si="10"/>
        <v>72123280.452553183</v>
      </c>
      <c r="P11" s="93">
        <f t="shared" si="11"/>
        <v>127647679.91907334</v>
      </c>
      <c r="Q11" s="144">
        <f t="shared" si="8"/>
        <v>4.2202681902736135E-2</v>
      </c>
      <c r="R11" s="94">
        <f t="shared" si="9"/>
        <v>22446347.367159292</v>
      </c>
    </row>
    <row r="12" spans="1:43" ht="16.2" thickBot="1" x14ac:dyDescent="0.35">
      <c r="A12" s="496" t="s">
        <v>874</v>
      </c>
      <c r="B12" s="495" t="s">
        <v>3267</v>
      </c>
      <c r="C12" s="497">
        <v>1179.1284173016436</v>
      </c>
      <c r="D12" s="498">
        <f t="shared" si="0"/>
        <v>5.8352016813118046E-3</v>
      </c>
      <c r="E12" s="499">
        <v>20658378.952110719</v>
      </c>
      <c r="F12" s="498">
        <f t="shared" si="1"/>
        <v>6.830041847175292E-3</v>
      </c>
      <c r="G12" s="500">
        <v>473.83045191193514</v>
      </c>
      <c r="H12" s="501">
        <v>595.71261870627643</v>
      </c>
      <c r="I12" s="498">
        <f t="shared" si="3"/>
        <v>5.5679056460898766E-3</v>
      </c>
      <c r="J12" s="502">
        <f t="shared" si="4"/>
        <v>0.50521436848203938</v>
      </c>
      <c r="K12" s="500">
        <f t="shared" si="5"/>
        <v>10436909.876153272</v>
      </c>
      <c r="L12" s="148">
        <v>681.25338318127535</v>
      </c>
      <c r="M12" s="503">
        <f t="shared" si="6"/>
        <v>2.3150077209605536E-2</v>
      </c>
      <c r="N12" s="149">
        <f t="shared" si="7"/>
        <v>10221469.075957447</v>
      </c>
      <c r="O12" s="110">
        <f t="shared" si="10"/>
        <v>20468113.082313668</v>
      </c>
      <c r="P12" s="110">
        <f t="shared" si="11"/>
        <v>30905022.95846694</v>
      </c>
      <c r="Q12" s="503">
        <f t="shared" si="8"/>
        <v>1.0217771713045059E-2</v>
      </c>
      <c r="R12" s="97">
        <f t="shared" si="9"/>
        <v>10246644.006356221</v>
      </c>
    </row>
    <row r="13" spans="1:43" ht="16.2" thickBot="1" x14ac:dyDescent="0.35">
      <c r="A13" s="504"/>
      <c r="B13" s="111" t="s">
        <v>2602</v>
      </c>
      <c r="C13" s="505">
        <f>SUM(C4:C12)</f>
        <v>202071.57896152875</v>
      </c>
      <c r="D13" s="506">
        <f t="shared" si="0"/>
        <v>1</v>
      </c>
      <c r="E13" s="507">
        <f>SUM(E4:E12)</f>
        <v>3024634316.2091208</v>
      </c>
      <c r="F13" s="506">
        <f t="shared" si="1"/>
        <v>1</v>
      </c>
      <c r="G13" s="508">
        <f>E13/C13</f>
        <v>14968.133231566244</v>
      </c>
      <c r="H13" s="509">
        <f>SUM(H4:H12)</f>
        <v>106990.42989793159</v>
      </c>
      <c r="I13" s="510">
        <f t="shared" si="3"/>
        <v>1</v>
      </c>
      <c r="J13" s="511">
        <f t="shared" si="4"/>
        <v>0.52946797589135919</v>
      </c>
      <c r="K13" s="509">
        <f>SUM(K4:K12)</f>
        <v>1599178135.3092573</v>
      </c>
      <c r="L13" s="512">
        <f>SUM(L4:L12)</f>
        <v>29427.693783181276</v>
      </c>
      <c r="M13" s="513">
        <f t="shared" si="6"/>
        <v>1</v>
      </c>
      <c r="N13" s="514">
        <f t="shared" si="7"/>
        <v>1425456180.8998635</v>
      </c>
      <c r="O13" s="515">
        <f t="shared" si="10"/>
        <v>1425456180.8998635</v>
      </c>
      <c r="P13" s="112">
        <f t="shared" si="11"/>
        <v>3024634316.2091208</v>
      </c>
      <c r="Q13" s="513">
        <f t="shared" si="8"/>
        <v>1</v>
      </c>
      <c r="R13" s="97">
        <f t="shared" si="9"/>
        <v>0</v>
      </c>
    </row>
    <row r="14" spans="1:43" ht="16.2" thickBot="1" x14ac:dyDescent="0.35"/>
    <row r="15" spans="1:43" ht="16.2" thickBot="1" x14ac:dyDescent="0.35">
      <c r="B15" s="131" t="s">
        <v>3566</v>
      </c>
      <c r="C15" s="516"/>
      <c r="D15" s="516"/>
      <c r="E15" s="516"/>
      <c r="F15" s="516"/>
      <c r="G15" s="516"/>
      <c r="H15" s="130"/>
      <c r="I15" s="130"/>
      <c r="J15" s="130"/>
      <c r="K15" s="130"/>
      <c r="L15" s="130"/>
      <c r="M15" s="130"/>
      <c r="N15" s="130"/>
      <c r="O15" s="130"/>
      <c r="P15" s="130"/>
      <c r="Q15" s="130"/>
      <c r="R15" s="130"/>
    </row>
    <row r="16" spans="1:43" ht="72.599999999999994" thickBot="1" x14ac:dyDescent="0.35">
      <c r="A16" s="472" t="s">
        <v>61</v>
      </c>
      <c r="B16" s="517" t="s">
        <v>2800</v>
      </c>
      <c r="C16" s="472" t="s">
        <v>2641</v>
      </c>
      <c r="D16" s="474" t="s">
        <v>2642</v>
      </c>
      <c r="E16" s="475" t="s">
        <v>3562</v>
      </c>
      <c r="F16" s="474" t="s">
        <v>2642</v>
      </c>
      <c r="G16" s="476" t="s">
        <v>2643</v>
      </c>
      <c r="H16" s="518" t="s">
        <v>2644</v>
      </c>
      <c r="I16" s="480" t="s">
        <v>2642</v>
      </c>
      <c r="J16" s="480" t="s">
        <v>2645</v>
      </c>
      <c r="K16" s="476" t="s">
        <v>2649</v>
      </c>
      <c r="L16" s="472" t="s">
        <v>2650</v>
      </c>
      <c r="M16" s="480" t="s">
        <v>2642</v>
      </c>
      <c r="N16" s="519" t="s">
        <v>2646</v>
      </c>
      <c r="O16" s="475" t="s">
        <v>2651</v>
      </c>
      <c r="P16" s="481" t="s">
        <v>3563</v>
      </c>
      <c r="Q16" s="480" t="s">
        <v>2642</v>
      </c>
      <c r="R16" s="481" t="s">
        <v>3564</v>
      </c>
      <c r="X16" s="103"/>
      <c r="Y16" s="103"/>
      <c r="Z16" s="103"/>
      <c r="AA16" s="103"/>
      <c r="AB16" s="103"/>
      <c r="AC16" s="103"/>
      <c r="AD16" s="103"/>
      <c r="AE16" s="103"/>
      <c r="AF16" s="103"/>
      <c r="AG16" s="103"/>
      <c r="AH16" s="103"/>
      <c r="AI16" s="103"/>
      <c r="AJ16" s="103"/>
      <c r="AK16" s="103"/>
      <c r="AL16" s="103"/>
      <c r="AM16" s="103"/>
      <c r="AN16" s="103"/>
      <c r="AO16" s="103"/>
      <c r="AP16" s="103"/>
      <c r="AQ16" s="103"/>
    </row>
    <row r="17" spans="1:43" ht="16.2" thickBot="1" x14ac:dyDescent="0.35">
      <c r="A17" s="104"/>
      <c r="B17" s="104"/>
      <c r="C17" s="472" t="s">
        <v>39</v>
      </c>
      <c r="D17" s="474" t="s">
        <v>40</v>
      </c>
      <c r="E17" s="475" t="s">
        <v>41</v>
      </c>
      <c r="F17" s="474" t="s">
        <v>42</v>
      </c>
      <c r="G17" s="476" t="s">
        <v>2647</v>
      </c>
      <c r="H17" s="134" t="s">
        <v>44</v>
      </c>
      <c r="I17" s="132" t="s">
        <v>45</v>
      </c>
      <c r="J17" s="132" t="s">
        <v>2648</v>
      </c>
      <c r="K17" s="133" t="s">
        <v>2652</v>
      </c>
      <c r="L17" s="134" t="s">
        <v>47</v>
      </c>
      <c r="M17" s="132" t="s">
        <v>48</v>
      </c>
      <c r="N17" s="135" t="s">
        <v>2653</v>
      </c>
      <c r="O17" s="132" t="s">
        <v>50</v>
      </c>
      <c r="P17" s="132" t="s">
        <v>2654</v>
      </c>
      <c r="Q17" s="132" t="s">
        <v>52</v>
      </c>
      <c r="R17" s="520" t="s">
        <v>2878</v>
      </c>
    </row>
    <row r="18" spans="1:43" x14ac:dyDescent="0.3">
      <c r="A18" s="105" t="s">
        <v>2640</v>
      </c>
      <c r="B18" s="136" t="s">
        <v>784</v>
      </c>
      <c r="C18" s="137">
        <v>8522.9695290858726</v>
      </c>
      <c r="D18" s="138">
        <f>C18/C$22</f>
        <v>0.48495298932180175</v>
      </c>
      <c r="E18" s="492">
        <v>116492759.23967052</v>
      </c>
      <c r="F18" s="138">
        <f>E18/E$22</f>
        <v>0.47522661604775113</v>
      </c>
      <c r="G18" s="106">
        <f>E18/C18</f>
        <v>13668.095238651509</v>
      </c>
      <c r="H18" s="139">
        <v>5634.1794701914696</v>
      </c>
      <c r="I18" s="138">
        <f t="shared" ref="I18:I22" si="12">H18/H$22</f>
        <v>0.48582325423807976</v>
      </c>
      <c r="J18" s="107">
        <f>H18/C18</f>
        <v>0.66105826742240636</v>
      </c>
      <c r="K18" s="108">
        <f>J18*E18</f>
        <v>77008501.590232104</v>
      </c>
      <c r="L18" s="139">
        <v>888.16666666666663</v>
      </c>
      <c r="M18" s="138">
        <f t="shared" ref="M18:M22" si="13">L18/L$22</f>
        <v>0.50710122516950162</v>
      </c>
      <c r="N18" s="140">
        <f>E18-K18</f>
        <v>39484257.649438411</v>
      </c>
      <c r="O18" s="91">
        <f>$N$22*M18*0.5+$N$22*I18*0.5</f>
        <v>41395454.382848665</v>
      </c>
      <c r="P18" s="91">
        <f>K18+O18</f>
        <v>118403955.97308077</v>
      </c>
      <c r="Q18" s="107">
        <f>P18/$P$22</f>
        <v>0.48302325132489699</v>
      </c>
      <c r="R18" s="92">
        <f>P18-E18</f>
        <v>1911196.7334102541</v>
      </c>
    </row>
    <row r="19" spans="1:43" x14ac:dyDescent="0.3">
      <c r="A19" s="141" t="s">
        <v>2638</v>
      </c>
      <c r="B19" s="142" t="s">
        <v>3567</v>
      </c>
      <c r="C19" s="143">
        <v>2683.8337950138502</v>
      </c>
      <c r="D19" s="144">
        <f t="shared" ref="D19:D22" si="14">C19/C$22</f>
        <v>0.1527088906387816</v>
      </c>
      <c r="E19" s="494">
        <v>37359949.569943555</v>
      </c>
      <c r="F19" s="144">
        <f>E19/E$22</f>
        <v>0.15240811983267713</v>
      </c>
      <c r="G19" s="109">
        <f>E19/C19</f>
        <v>13920.366320504863</v>
      </c>
      <c r="H19" s="145">
        <v>1768</v>
      </c>
      <c r="I19" s="144">
        <f t="shared" si="12"/>
        <v>0.1524508613964573</v>
      </c>
      <c r="J19" s="101">
        <f>H19/C19</f>
        <v>0.6587591240875913</v>
      </c>
      <c r="K19" s="102">
        <f>J19*E19</f>
        <v>24611207.654652599</v>
      </c>
      <c r="L19" s="145">
        <v>304.125</v>
      </c>
      <c r="M19" s="144">
        <f t="shared" si="13"/>
        <v>0.17364101344117999</v>
      </c>
      <c r="N19" s="146">
        <f>E19-K19</f>
        <v>12748741.915290955</v>
      </c>
      <c r="O19" s="93">
        <f t="shared" ref="O19:O22" si="15">$N$22*M19*0.5+$N$22*I19*0.5</f>
        <v>13594912.412183544</v>
      </c>
      <c r="P19" s="93">
        <f t="shared" ref="P19:P22" si="16">K19+O19</f>
        <v>38206120.066836141</v>
      </c>
      <c r="Q19" s="101">
        <f t="shared" ref="Q19:Q22" si="17">P19/$P$22</f>
        <v>0.15586003173228616</v>
      </c>
      <c r="R19" s="94">
        <f>P19-E19</f>
        <v>846170.49689258635</v>
      </c>
    </row>
    <row r="20" spans="1:43" x14ac:dyDescent="0.3">
      <c r="A20" s="100" t="s">
        <v>2909</v>
      </c>
      <c r="B20" s="147" t="s">
        <v>3568</v>
      </c>
      <c r="C20" s="143">
        <v>5839.7673130193907</v>
      </c>
      <c r="D20" s="144">
        <f t="shared" si="14"/>
        <v>0.33228003523042582</v>
      </c>
      <c r="E20" s="95">
        <v>83846155.265957505</v>
      </c>
      <c r="F20" s="144">
        <f>E20/E$22</f>
        <v>0.34204636318792042</v>
      </c>
      <c r="G20" s="102">
        <f>E20/C20</f>
        <v>14357.790434394161</v>
      </c>
      <c r="H20" s="145">
        <v>3846.9999999999995</v>
      </c>
      <c r="I20" s="144">
        <f t="shared" si="12"/>
        <v>0.33171858811774391</v>
      </c>
      <c r="J20" s="101">
        <f>H20/C20</f>
        <v>0.65875912408759119</v>
      </c>
      <c r="K20" s="102">
        <f>J20*E20</f>
        <v>55234419.801114336</v>
      </c>
      <c r="L20" s="145">
        <v>288</v>
      </c>
      <c r="M20" s="144">
        <f t="shared" si="13"/>
        <v>0.16443439990484124</v>
      </c>
      <c r="N20" s="146">
        <f>E20-K20</f>
        <v>28611735.464843169</v>
      </c>
      <c r="O20" s="93">
        <f t="shared" si="15"/>
        <v>20684834.354025662</v>
      </c>
      <c r="P20" s="93">
        <f t="shared" si="16"/>
        <v>75919254.155139998</v>
      </c>
      <c r="Q20" s="101">
        <f t="shared" si="17"/>
        <v>0.30970895084378808</v>
      </c>
      <c r="R20" s="94">
        <f>P20-E20</f>
        <v>-7926901.1108175069</v>
      </c>
    </row>
    <row r="21" spans="1:43" ht="16.2" thickBot="1" x14ac:dyDescent="0.35">
      <c r="A21" s="100" t="s">
        <v>2639</v>
      </c>
      <c r="B21" s="147" t="s">
        <v>3569</v>
      </c>
      <c r="C21" s="497">
        <v>528.26592797783928</v>
      </c>
      <c r="D21" s="498">
        <f t="shared" si="14"/>
        <v>3.0058084808990949E-2</v>
      </c>
      <c r="E21" s="499">
        <v>7432101.4593327818</v>
      </c>
      <c r="F21" s="498">
        <f>E21/E$22</f>
        <v>3.0318900931651249E-2</v>
      </c>
      <c r="G21" s="500">
        <f>E21/C21</f>
        <v>14068.863929540725</v>
      </c>
      <c r="H21" s="501">
        <v>348</v>
      </c>
      <c r="I21" s="498">
        <f t="shared" si="12"/>
        <v>3.0007296247718973E-2</v>
      </c>
      <c r="J21" s="502">
        <f>H21/C21</f>
        <v>0.6587591240875913</v>
      </c>
      <c r="K21" s="500">
        <f>J21*E21</f>
        <v>4895964.6474801721</v>
      </c>
      <c r="L21" s="501">
        <v>271.16666666666663</v>
      </c>
      <c r="M21" s="498">
        <f t="shared" si="13"/>
        <v>0.15482336148447723</v>
      </c>
      <c r="N21" s="521">
        <f>E21-K21</f>
        <v>2536136.8118526097</v>
      </c>
      <c r="O21" s="96">
        <f t="shared" si="15"/>
        <v>7705670.6923672836</v>
      </c>
      <c r="P21" s="96">
        <f t="shared" si="16"/>
        <v>12601635.339847457</v>
      </c>
      <c r="Q21" s="502">
        <f t="shared" si="17"/>
        <v>5.1407766099028814E-2</v>
      </c>
      <c r="R21" s="97">
        <f>P21-E21</f>
        <v>5169533.8805146748</v>
      </c>
    </row>
    <row r="22" spans="1:43" ht="16.2" thickBot="1" x14ac:dyDescent="0.35">
      <c r="A22" s="111"/>
      <c r="B22" s="111" t="s">
        <v>2602</v>
      </c>
      <c r="C22" s="522">
        <f>SUM(C18:C21)</f>
        <v>17574.83656509695</v>
      </c>
      <c r="D22" s="506">
        <f t="shared" si="14"/>
        <v>1</v>
      </c>
      <c r="E22" s="523">
        <f>SUM(E18:E21)</f>
        <v>245130965.53490436</v>
      </c>
      <c r="F22" s="524">
        <f>E22/E$22</f>
        <v>1</v>
      </c>
      <c r="G22" s="525">
        <f>E22/C22</f>
        <v>13947.837558940744</v>
      </c>
      <c r="H22" s="509">
        <f>SUM(H18:H21)</f>
        <v>11597.17947019147</v>
      </c>
      <c r="I22" s="510">
        <f t="shared" si="12"/>
        <v>1</v>
      </c>
      <c r="J22" s="511">
        <f>H22/C22</f>
        <v>0.65987410052068929</v>
      </c>
      <c r="K22" s="509">
        <f>SUM(K18:K21)</f>
        <v>161750093.69347921</v>
      </c>
      <c r="L22" s="526">
        <f>SUM(L18:L21)</f>
        <v>1751.458333333333</v>
      </c>
      <c r="M22" s="510">
        <f t="shared" si="13"/>
        <v>1</v>
      </c>
      <c r="N22" s="527">
        <f>E22-K22</f>
        <v>83380871.841425151</v>
      </c>
      <c r="O22" s="528">
        <f t="shared" si="15"/>
        <v>83380871.841425151</v>
      </c>
      <c r="P22" s="529">
        <f t="shared" si="16"/>
        <v>245130965.53490436</v>
      </c>
      <c r="Q22" s="530">
        <f t="shared" si="17"/>
        <v>1</v>
      </c>
      <c r="R22" s="97">
        <f>P22-E22</f>
        <v>0</v>
      </c>
    </row>
    <row r="31" spans="1:43" x14ac:dyDescent="0.3">
      <c r="X31" s="531"/>
      <c r="Y31" s="531"/>
      <c r="Z31" s="531"/>
      <c r="AA31" s="531"/>
      <c r="AB31" s="531"/>
      <c r="AC31" s="531"/>
      <c r="AD31" s="531"/>
      <c r="AE31" s="531"/>
      <c r="AF31" s="531"/>
      <c r="AG31" s="531"/>
      <c r="AH31" s="531"/>
      <c r="AI31" s="531"/>
      <c r="AJ31" s="531"/>
      <c r="AK31" s="531"/>
      <c r="AL31" s="531"/>
      <c r="AM31" s="531"/>
      <c r="AN31" s="531"/>
      <c r="AO31" s="531"/>
      <c r="AP31" s="531"/>
      <c r="AQ31" s="531"/>
    </row>
    <row r="32" spans="1:43" x14ac:dyDescent="0.3">
      <c r="X32" s="531"/>
      <c r="Y32" s="531"/>
      <c r="Z32" s="531"/>
      <c r="AA32" s="531"/>
      <c r="AB32" s="531"/>
      <c r="AC32" s="531"/>
      <c r="AD32" s="531"/>
      <c r="AE32" s="531"/>
      <c r="AF32" s="531"/>
      <c r="AG32" s="531"/>
      <c r="AH32" s="531"/>
      <c r="AI32" s="531"/>
      <c r="AJ32" s="531"/>
      <c r="AK32" s="531"/>
      <c r="AL32" s="531"/>
      <c r="AM32" s="531"/>
      <c r="AN32" s="531"/>
      <c r="AO32" s="531"/>
      <c r="AP32" s="531"/>
      <c r="AQ32" s="531"/>
    </row>
    <row r="33" spans="24:43" x14ac:dyDescent="0.3">
      <c r="X33" s="531"/>
      <c r="Y33" s="531"/>
      <c r="Z33" s="531"/>
      <c r="AA33" s="531"/>
      <c r="AB33" s="531"/>
      <c r="AC33" s="531"/>
      <c r="AD33" s="531"/>
      <c r="AE33" s="531"/>
      <c r="AF33" s="531"/>
      <c r="AG33" s="531"/>
      <c r="AH33" s="531"/>
      <c r="AI33" s="531"/>
      <c r="AJ33" s="531"/>
      <c r="AK33" s="531"/>
      <c r="AL33" s="531"/>
      <c r="AM33" s="531"/>
      <c r="AN33" s="531"/>
      <c r="AO33" s="531"/>
      <c r="AP33" s="531"/>
      <c r="AQ33" s="531"/>
    </row>
    <row r="34" spans="24:43" x14ac:dyDescent="0.3">
      <c r="X34" s="532"/>
      <c r="Y34" s="532"/>
      <c r="Z34" s="532"/>
      <c r="AA34" s="532"/>
      <c r="AB34" s="532"/>
      <c r="AC34" s="532"/>
      <c r="AD34" s="532"/>
      <c r="AE34" s="532"/>
      <c r="AF34" s="532"/>
      <c r="AG34" s="532"/>
      <c r="AH34" s="532"/>
      <c r="AI34" s="532"/>
      <c r="AJ34" s="532"/>
      <c r="AK34" s="532"/>
      <c r="AL34" s="532"/>
      <c r="AM34" s="532"/>
      <c r="AN34" s="532"/>
      <c r="AO34" s="532"/>
      <c r="AP34" s="532"/>
      <c r="AQ34" s="532"/>
    </row>
    <row r="35" spans="24:43" x14ac:dyDescent="0.3">
      <c r="X35" s="532"/>
      <c r="Y35" s="532"/>
      <c r="Z35" s="532"/>
      <c r="AA35" s="532"/>
      <c r="AB35" s="532"/>
      <c r="AC35" s="532"/>
      <c r="AD35" s="532"/>
      <c r="AE35" s="532"/>
      <c r="AF35" s="532"/>
      <c r="AG35" s="532"/>
      <c r="AH35" s="532"/>
      <c r="AI35" s="532"/>
      <c r="AJ35" s="532"/>
      <c r="AK35" s="532"/>
      <c r="AL35" s="532"/>
      <c r="AM35" s="532"/>
      <c r="AN35" s="532"/>
      <c r="AO35" s="532"/>
      <c r="AP35" s="532"/>
      <c r="AQ35" s="532"/>
    </row>
    <row r="36" spans="24:43" x14ac:dyDescent="0.3">
      <c r="X36" s="532"/>
      <c r="Y36" s="532"/>
      <c r="Z36" s="532"/>
      <c r="AA36" s="532"/>
      <c r="AB36" s="532"/>
      <c r="AC36" s="532"/>
      <c r="AD36" s="532"/>
      <c r="AE36" s="532"/>
      <c r="AF36" s="532"/>
      <c r="AG36" s="532"/>
      <c r="AH36" s="532"/>
      <c r="AI36" s="532"/>
      <c r="AJ36" s="532"/>
      <c r="AK36" s="532"/>
      <c r="AL36" s="532"/>
      <c r="AM36" s="532"/>
      <c r="AN36" s="532"/>
      <c r="AO36" s="532"/>
      <c r="AP36" s="532"/>
      <c r="AQ36" s="532"/>
    </row>
    <row r="37" spans="24:43" x14ac:dyDescent="0.3">
      <c r="X37" s="532"/>
      <c r="Y37" s="532"/>
      <c r="Z37" s="532"/>
      <c r="AA37" s="532"/>
      <c r="AB37" s="532"/>
      <c r="AC37" s="532"/>
      <c r="AD37" s="532"/>
      <c r="AE37" s="532"/>
      <c r="AF37" s="532"/>
      <c r="AG37" s="532"/>
      <c r="AH37" s="532"/>
      <c r="AI37" s="532"/>
      <c r="AJ37" s="532"/>
      <c r="AK37" s="532"/>
      <c r="AL37" s="532"/>
      <c r="AM37" s="532"/>
      <c r="AN37" s="532"/>
      <c r="AO37" s="532"/>
      <c r="AP37" s="532"/>
      <c r="AQ37" s="532"/>
    </row>
    <row r="38" spans="24:43" x14ac:dyDescent="0.3">
      <c r="X38" s="532"/>
      <c r="Y38" s="532"/>
      <c r="Z38" s="532"/>
      <c r="AA38" s="532"/>
      <c r="AB38" s="532"/>
      <c r="AC38" s="532"/>
      <c r="AD38" s="532"/>
      <c r="AE38" s="532"/>
      <c r="AF38" s="532"/>
      <c r="AG38" s="532"/>
      <c r="AH38" s="532"/>
      <c r="AI38" s="532"/>
      <c r="AJ38" s="532"/>
      <c r="AK38" s="532"/>
      <c r="AL38" s="532"/>
      <c r="AM38" s="532"/>
      <c r="AN38" s="532"/>
      <c r="AO38" s="532"/>
      <c r="AP38" s="532"/>
      <c r="AQ38" s="532"/>
    </row>
    <row r="39" spans="24:43" x14ac:dyDescent="0.3">
      <c r="X39" s="532"/>
      <c r="Y39" s="532"/>
      <c r="Z39" s="532"/>
      <c r="AA39" s="532"/>
      <c r="AB39" s="532"/>
      <c r="AC39" s="532"/>
      <c r="AD39" s="532"/>
      <c r="AE39" s="532"/>
      <c r="AF39" s="532"/>
      <c r="AG39" s="532"/>
      <c r="AH39" s="532"/>
      <c r="AI39" s="532"/>
      <c r="AJ39" s="532"/>
      <c r="AK39" s="532"/>
      <c r="AL39" s="532"/>
      <c r="AM39" s="532"/>
      <c r="AN39" s="532"/>
      <c r="AO39" s="532"/>
      <c r="AP39" s="532"/>
      <c r="AQ39" s="532"/>
    </row>
    <row r="40" spans="24:43" x14ac:dyDescent="0.3">
      <c r="X40" s="532"/>
      <c r="Y40" s="532"/>
      <c r="Z40" s="532"/>
      <c r="AA40" s="532"/>
      <c r="AB40" s="532"/>
      <c r="AC40" s="532"/>
      <c r="AD40" s="532"/>
      <c r="AE40" s="532"/>
      <c r="AF40" s="532"/>
      <c r="AG40" s="532"/>
      <c r="AH40" s="532"/>
      <c r="AI40" s="532"/>
      <c r="AJ40" s="532"/>
      <c r="AK40" s="532"/>
      <c r="AL40" s="532"/>
      <c r="AM40" s="532"/>
      <c r="AN40" s="532"/>
      <c r="AO40" s="532"/>
      <c r="AP40" s="532"/>
      <c r="AQ40" s="532"/>
    </row>
    <row r="41" spans="24:43" x14ac:dyDescent="0.3">
      <c r="X41" s="532"/>
      <c r="Y41" s="532"/>
      <c r="Z41" s="532"/>
      <c r="AA41" s="532"/>
      <c r="AB41" s="532"/>
      <c r="AC41" s="532"/>
      <c r="AD41" s="532"/>
      <c r="AE41" s="532"/>
      <c r="AF41" s="532"/>
      <c r="AG41" s="532"/>
      <c r="AH41" s="532"/>
      <c r="AI41" s="532"/>
      <c r="AJ41" s="532"/>
      <c r="AK41" s="532"/>
      <c r="AL41" s="532"/>
      <c r="AM41" s="532"/>
      <c r="AN41" s="532"/>
      <c r="AO41" s="532"/>
      <c r="AP41" s="532"/>
      <c r="AQ41" s="532"/>
    </row>
    <row r="42" spans="24:43" x14ac:dyDescent="0.3">
      <c r="X42" s="532"/>
      <c r="Y42" s="532"/>
      <c r="Z42" s="532"/>
      <c r="AA42" s="532"/>
      <c r="AB42" s="532"/>
      <c r="AC42" s="532"/>
      <c r="AD42" s="532"/>
      <c r="AE42" s="532"/>
      <c r="AF42" s="532"/>
      <c r="AG42" s="532"/>
      <c r="AH42" s="532"/>
      <c r="AI42" s="532"/>
      <c r="AJ42" s="532"/>
      <c r="AK42" s="532"/>
      <c r="AL42" s="532"/>
      <c r="AM42" s="532"/>
      <c r="AN42" s="532"/>
      <c r="AO42" s="532"/>
      <c r="AP42" s="532"/>
      <c r="AQ42" s="532"/>
    </row>
    <row r="43" spans="24:43" x14ac:dyDescent="0.3">
      <c r="X43" s="532"/>
      <c r="Y43" s="532"/>
      <c r="Z43" s="532"/>
      <c r="AA43" s="532"/>
      <c r="AB43" s="532"/>
      <c r="AC43" s="532"/>
      <c r="AD43" s="532"/>
      <c r="AE43" s="532"/>
      <c r="AF43" s="532"/>
      <c r="AG43" s="532"/>
      <c r="AH43" s="532"/>
      <c r="AI43" s="532"/>
      <c r="AJ43" s="532"/>
      <c r="AK43" s="532"/>
      <c r="AL43" s="532"/>
      <c r="AM43" s="532"/>
      <c r="AN43" s="532"/>
      <c r="AO43" s="532"/>
      <c r="AP43" s="532"/>
      <c r="AQ43" s="532"/>
    </row>
    <row r="44" spans="24:43" x14ac:dyDescent="0.3">
      <c r="X44" s="532"/>
      <c r="Y44" s="532"/>
      <c r="Z44" s="532"/>
      <c r="AA44" s="532"/>
      <c r="AB44" s="532"/>
      <c r="AC44" s="532"/>
      <c r="AD44" s="532"/>
      <c r="AE44" s="532"/>
      <c r="AF44" s="532"/>
      <c r="AG44" s="532"/>
      <c r="AH44" s="532"/>
      <c r="AI44" s="532"/>
      <c r="AJ44" s="532"/>
      <c r="AK44" s="532"/>
      <c r="AL44" s="532"/>
      <c r="AM44" s="532"/>
      <c r="AN44" s="532"/>
      <c r="AO44" s="532"/>
      <c r="AP44" s="532"/>
      <c r="AQ44" s="532"/>
    </row>
    <row r="45" spans="24:43" x14ac:dyDescent="0.3">
      <c r="X45" s="532"/>
      <c r="Y45" s="532"/>
      <c r="Z45" s="532"/>
      <c r="AA45" s="532"/>
      <c r="AB45" s="532"/>
      <c r="AC45" s="532"/>
      <c r="AD45" s="532"/>
      <c r="AE45" s="532"/>
      <c r="AF45" s="532"/>
      <c r="AG45" s="532"/>
      <c r="AH45" s="532"/>
      <c r="AI45" s="532"/>
      <c r="AJ45" s="532"/>
      <c r="AK45" s="532"/>
      <c r="AL45" s="532"/>
      <c r="AM45" s="532"/>
      <c r="AN45" s="532"/>
      <c r="AO45" s="532"/>
      <c r="AP45" s="532"/>
      <c r="AQ45" s="532"/>
    </row>
    <row r="46" spans="24:43" x14ac:dyDescent="0.3">
      <c r="X46" s="532"/>
      <c r="Y46" s="532"/>
      <c r="Z46" s="532"/>
      <c r="AA46" s="532"/>
      <c r="AB46" s="532"/>
      <c r="AC46" s="532"/>
      <c r="AD46" s="532"/>
      <c r="AE46" s="532"/>
      <c r="AF46" s="532"/>
      <c r="AG46" s="532"/>
      <c r="AH46" s="532"/>
      <c r="AI46" s="532"/>
      <c r="AJ46" s="532"/>
      <c r="AK46" s="532"/>
      <c r="AL46" s="532"/>
      <c r="AM46" s="532"/>
      <c r="AN46" s="532"/>
      <c r="AO46" s="532"/>
      <c r="AP46" s="532"/>
      <c r="AQ46" s="532"/>
    </row>
    <row r="47" spans="24:43" x14ac:dyDescent="0.3">
      <c r="X47" s="532"/>
      <c r="Y47" s="532"/>
      <c r="Z47" s="532"/>
      <c r="AA47" s="532"/>
      <c r="AB47" s="532"/>
      <c r="AC47" s="532"/>
      <c r="AD47" s="532"/>
      <c r="AE47" s="532"/>
      <c r="AF47" s="532"/>
      <c r="AG47" s="532"/>
      <c r="AH47" s="532"/>
      <c r="AI47" s="532"/>
      <c r="AJ47" s="532"/>
      <c r="AK47" s="532"/>
      <c r="AL47" s="532"/>
      <c r="AM47" s="532"/>
      <c r="AN47" s="532"/>
      <c r="AO47" s="532"/>
      <c r="AP47" s="532"/>
      <c r="AQ47" s="532"/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54"/>
  <sheetViews>
    <sheetView topLeftCell="A325" zoomScale="85" zoomScaleNormal="85" workbookViewId="0">
      <selection activeCell="A346" sqref="A1:Y1048576"/>
    </sheetView>
  </sheetViews>
  <sheetFormatPr defaultColWidth="8.88671875" defaultRowHeight="13.2" x14ac:dyDescent="0.3"/>
  <cols>
    <col min="1" max="1" width="8.88671875" style="6"/>
    <col min="2" max="2" width="5.21875" style="6" bestFit="1" customWidth="1"/>
    <col min="3" max="3" width="7.88671875" style="6" bestFit="1" customWidth="1"/>
    <col min="4" max="4" width="46.44140625" style="6" customWidth="1"/>
    <col min="5" max="5" width="6.109375" style="6" customWidth="1"/>
    <col min="6" max="6" width="10.44140625" style="6" customWidth="1"/>
    <col min="7" max="7" width="36.88671875" style="11" customWidth="1"/>
    <col min="8" max="8" width="6.109375" style="6" customWidth="1"/>
    <col min="9" max="9" width="9.44140625" style="6" customWidth="1"/>
    <col min="10" max="10" width="10.44140625" style="6" customWidth="1"/>
    <col min="11" max="12" width="6.88671875" style="6" customWidth="1"/>
    <col min="13" max="13" width="4.21875" style="6" customWidth="1"/>
    <col min="14" max="15" width="6.88671875" style="6" customWidth="1"/>
    <col min="16" max="16" width="4.21875" style="6" customWidth="1"/>
    <col min="17" max="18" width="6.88671875" style="6" customWidth="1"/>
    <col min="19" max="19" width="4.21875" style="6" customWidth="1"/>
    <col min="20" max="20" width="5.21875" style="6" customWidth="1"/>
    <col min="21" max="21" width="6.88671875" style="6" customWidth="1"/>
    <col min="22" max="22" width="4.21875" style="6" customWidth="1"/>
    <col min="23" max="23" width="5.21875" style="6" customWidth="1"/>
    <col min="24" max="24" width="6.88671875" style="6" customWidth="1"/>
    <col min="25" max="25" width="4.21875" style="6" customWidth="1"/>
    <col min="26" max="16384" width="8.88671875" style="6"/>
  </cols>
  <sheetData>
    <row r="1" spans="1:25" x14ac:dyDescent="0.3">
      <c r="A1" s="6" t="s">
        <v>118</v>
      </c>
      <c r="B1" s="7" t="s">
        <v>119</v>
      </c>
      <c r="C1" s="7" t="s">
        <v>120</v>
      </c>
      <c r="D1" s="7" t="s">
        <v>121</v>
      </c>
      <c r="E1" s="7" t="s">
        <v>122</v>
      </c>
      <c r="F1" s="7" t="s">
        <v>123</v>
      </c>
      <c r="G1" s="8" t="s">
        <v>124</v>
      </c>
      <c r="H1" s="7" t="s">
        <v>125</v>
      </c>
      <c r="I1" s="7" t="s">
        <v>126</v>
      </c>
      <c r="J1" s="7" t="s">
        <v>127</v>
      </c>
      <c r="K1" s="7" t="s">
        <v>128</v>
      </c>
      <c r="L1" s="7" t="s">
        <v>129</v>
      </c>
      <c r="M1" s="7" t="s">
        <v>130</v>
      </c>
      <c r="N1" s="7" t="s">
        <v>128</v>
      </c>
      <c r="O1" s="7" t="s">
        <v>129</v>
      </c>
      <c r="P1" s="7" t="s">
        <v>130</v>
      </c>
      <c r="Q1" s="7" t="s">
        <v>128</v>
      </c>
      <c r="R1" s="7" t="s">
        <v>129</v>
      </c>
      <c r="S1" s="7" t="s">
        <v>130</v>
      </c>
      <c r="T1" s="7" t="s">
        <v>128</v>
      </c>
      <c r="U1" s="7" t="s">
        <v>129</v>
      </c>
      <c r="V1" s="7" t="s">
        <v>130</v>
      </c>
      <c r="W1" s="7" t="s">
        <v>128</v>
      </c>
      <c r="X1" s="7" t="s">
        <v>129</v>
      </c>
      <c r="Y1" s="7" t="s">
        <v>130</v>
      </c>
    </row>
    <row r="2" spans="1:25" x14ac:dyDescent="0.3">
      <c r="A2" s="9" t="s">
        <v>131</v>
      </c>
      <c r="B2" s="6">
        <v>2022</v>
      </c>
      <c r="C2" s="10">
        <v>1</v>
      </c>
      <c r="D2" s="6" t="s">
        <v>132</v>
      </c>
      <c r="E2" s="6" t="s">
        <v>133</v>
      </c>
      <c r="F2" s="6" t="s">
        <v>134</v>
      </c>
      <c r="G2" s="11" t="s">
        <v>134</v>
      </c>
      <c r="H2" s="6" t="s">
        <v>135</v>
      </c>
      <c r="I2" s="6" t="s">
        <v>135</v>
      </c>
      <c r="J2" s="6" t="s">
        <v>134</v>
      </c>
      <c r="K2" s="12">
        <v>0</v>
      </c>
      <c r="L2" s="12">
        <v>0</v>
      </c>
      <c r="M2" s="10">
        <v>0</v>
      </c>
      <c r="N2" s="12">
        <v>0</v>
      </c>
      <c r="O2" s="12">
        <v>0</v>
      </c>
      <c r="P2" s="10">
        <v>0</v>
      </c>
      <c r="Q2" s="12">
        <v>0</v>
      </c>
      <c r="R2" s="12">
        <v>0</v>
      </c>
      <c r="S2" s="10">
        <v>0</v>
      </c>
      <c r="T2" s="12">
        <v>0</v>
      </c>
      <c r="U2" s="12">
        <v>0</v>
      </c>
      <c r="V2" s="10">
        <v>0</v>
      </c>
      <c r="W2" s="12">
        <v>0</v>
      </c>
      <c r="X2" s="12">
        <v>0</v>
      </c>
      <c r="Y2" s="10">
        <v>0</v>
      </c>
    </row>
    <row r="3" spans="1:25" x14ac:dyDescent="0.3">
      <c r="A3" s="9" t="s">
        <v>131</v>
      </c>
      <c r="B3" s="6">
        <v>2022</v>
      </c>
      <c r="C3" s="10">
        <v>2</v>
      </c>
      <c r="D3" s="6" t="s">
        <v>136</v>
      </c>
      <c r="E3" s="6" t="s">
        <v>133</v>
      </c>
      <c r="F3" s="6" t="s">
        <v>134</v>
      </c>
      <c r="G3" s="11" t="s">
        <v>134</v>
      </c>
      <c r="H3" s="6" t="s">
        <v>135</v>
      </c>
      <c r="I3" s="6" t="s">
        <v>135</v>
      </c>
      <c r="J3" s="6" t="s">
        <v>134</v>
      </c>
      <c r="K3" s="12">
        <v>0</v>
      </c>
      <c r="L3" s="12">
        <v>0</v>
      </c>
      <c r="M3" s="10">
        <v>0</v>
      </c>
      <c r="N3" s="12">
        <v>0</v>
      </c>
      <c r="O3" s="12">
        <v>0</v>
      </c>
      <c r="P3" s="10">
        <v>0</v>
      </c>
      <c r="Q3" s="12">
        <v>0</v>
      </c>
      <c r="R3" s="12">
        <v>0</v>
      </c>
      <c r="S3" s="10">
        <v>0</v>
      </c>
      <c r="T3" s="12">
        <v>0</v>
      </c>
      <c r="U3" s="12">
        <v>0</v>
      </c>
      <c r="V3" s="10">
        <v>0</v>
      </c>
      <c r="W3" s="12">
        <v>0</v>
      </c>
      <c r="X3" s="12">
        <v>0</v>
      </c>
      <c r="Y3" s="10">
        <v>0</v>
      </c>
    </row>
    <row r="4" spans="1:25" x14ac:dyDescent="0.3">
      <c r="A4" s="9" t="s">
        <v>131</v>
      </c>
      <c r="B4" s="6">
        <v>2022</v>
      </c>
      <c r="C4" s="10">
        <v>3</v>
      </c>
      <c r="D4" s="6" t="s">
        <v>137</v>
      </c>
      <c r="E4" s="6" t="s">
        <v>133</v>
      </c>
      <c r="F4" s="6" t="s">
        <v>134</v>
      </c>
      <c r="G4" s="11" t="s">
        <v>134</v>
      </c>
      <c r="H4" s="6" t="s">
        <v>135</v>
      </c>
      <c r="I4" s="6" t="s">
        <v>135</v>
      </c>
      <c r="J4" s="6" t="s">
        <v>134</v>
      </c>
      <c r="K4" s="12">
        <v>0</v>
      </c>
      <c r="L4" s="12">
        <v>0</v>
      </c>
      <c r="M4" s="10">
        <v>0</v>
      </c>
      <c r="N4" s="12">
        <v>0</v>
      </c>
      <c r="O4" s="12">
        <v>0</v>
      </c>
      <c r="P4" s="10">
        <v>0</v>
      </c>
      <c r="Q4" s="12">
        <v>0</v>
      </c>
      <c r="R4" s="12">
        <v>0</v>
      </c>
      <c r="S4" s="10">
        <v>0</v>
      </c>
      <c r="T4" s="12">
        <v>0</v>
      </c>
      <c r="U4" s="12">
        <v>0</v>
      </c>
      <c r="V4" s="10">
        <v>0</v>
      </c>
      <c r="W4" s="12">
        <v>0</v>
      </c>
      <c r="X4" s="12">
        <v>0</v>
      </c>
      <c r="Y4" s="10">
        <v>0</v>
      </c>
    </row>
    <row r="5" spans="1:25" x14ac:dyDescent="0.3">
      <c r="A5" s="9" t="s">
        <v>131</v>
      </c>
      <c r="B5" s="6">
        <v>2022</v>
      </c>
      <c r="C5" s="10">
        <v>4</v>
      </c>
      <c r="D5" s="6" t="s">
        <v>138</v>
      </c>
      <c r="E5" s="6" t="s">
        <v>133</v>
      </c>
      <c r="F5" s="6" t="s">
        <v>134</v>
      </c>
      <c r="G5" s="11" t="s">
        <v>134</v>
      </c>
      <c r="H5" s="6" t="s">
        <v>135</v>
      </c>
      <c r="I5" s="6" t="s">
        <v>135</v>
      </c>
      <c r="J5" s="6" t="s">
        <v>134</v>
      </c>
      <c r="K5" s="12">
        <v>0</v>
      </c>
      <c r="L5" s="12">
        <v>0</v>
      </c>
      <c r="M5" s="10">
        <v>0</v>
      </c>
      <c r="N5" s="12">
        <v>0</v>
      </c>
      <c r="O5" s="12">
        <v>0</v>
      </c>
      <c r="P5" s="10">
        <v>0</v>
      </c>
      <c r="Q5" s="12">
        <v>0</v>
      </c>
      <c r="R5" s="12">
        <v>0</v>
      </c>
      <c r="S5" s="10">
        <v>0</v>
      </c>
      <c r="T5" s="12">
        <v>0</v>
      </c>
      <c r="U5" s="12">
        <v>0</v>
      </c>
      <c r="V5" s="10">
        <v>0</v>
      </c>
      <c r="W5" s="12">
        <v>0</v>
      </c>
      <c r="X5" s="12">
        <v>0</v>
      </c>
      <c r="Y5" s="10">
        <v>0</v>
      </c>
    </row>
    <row r="6" spans="1:25" x14ac:dyDescent="0.3">
      <c r="A6" s="9" t="s">
        <v>131</v>
      </c>
      <c r="B6" s="6">
        <v>2022</v>
      </c>
      <c r="C6" s="10">
        <v>5</v>
      </c>
      <c r="D6" s="6" t="s">
        <v>139</v>
      </c>
      <c r="E6" s="6" t="s">
        <v>133</v>
      </c>
      <c r="F6" s="6" t="s">
        <v>134</v>
      </c>
      <c r="G6" s="11" t="s">
        <v>134</v>
      </c>
      <c r="H6" s="6" t="s">
        <v>135</v>
      </c>
      <c r="I6" s="6" t="s">
        <v>135</v>
      </c>
      <c r="J6" s="6" t="s">
        <v>134</v>
      </c>
      <c r="K6" s="12">
        <v>0</v>
      </c>
      <c r="L6" s="12">
        <v>0</v>
      </c>
      <c r="M6" s="10">
        <v>0</v>
      </c>
      <c r="N6" s="12">
        <v>0</v>
      </c>
      <c r="O6" s="12">
        <v>0</v>
      </c>
      <c r="P6" s="10">
        <v>0</v>
      </c>
      <c r="Q6" s="12">
        <v>0</v>
      </c>
      <c r="R6" s="12">
        <v>0</v>
      </c>
      <c r="S6" s="10">
        <v>0</v>
      </c>
      <c r="T6" s="12">
        <v>0</v>
      </c>
      <c r="U6" s="12">
        <v>0</v>
      </c>
      <c r="V6" s="10">
        <v>0</v>
      </c>
      <c r="W6" s="12">
        <v>0</v>
      </c>
      <c r="X6" s="12">
        <v>0</v>
      </c>
      <c r="Y6" s="10">
        <v>0</v>
      </c>
    </row>
    <row r="7" spans="1:25" x14ac:dyDescent="0.3">
      <c r="A7" s="9" t="s">
        <v>131</v>
      </c>
      <c r="B7" s="6">
        <v>2022</v>
      </c>
      <c r="C7" s="10">
        <v>6</v>
      </c>
      <c r="D7" s="6" t="s">
        <v>140</v>
      </c>
      <c r="E7" s="6" t="s">
        <v>133</v>
      </c>
      <c r="F7" s="6" t="s">
        <v>134</v>
      </c>
      <c r="G7" s="13" t="s">
        <v>141</v>
      </c>
      <c r="H7" s="6" t="s">
        <v>135</v>
      </c>
      <c r="I7" s="6" t="s">
        <v>135</v>
      </c>
      <c r="J7" s="6" t="s">
        <v>134</v>
      </c>
      <c r="K7" s="12">
        <v>0</v>
      </c>
      <c r="L7" s="12">
        <v>0</v>
      </c>
      <c r="M7" s="10">
        <v>0</v>
      </c>
      <c r="N7" s="12">
        <v>0</v>
      </c>
      <c r="O7" s="12">
        <v>0</v>
      </c>
      <c r="P7" s="10">
        <v>0</v>
      </c>
      <c r="Q7" s="12">
        <v>0</v>
      </c>
      <c r="R7" s="12">
        <v>0</v>
      </c>
      <c r="S7" s="10">
        <v>0</v>
      </c>
      <c r="T7" s="12">
        <v>0</v>
      </c>
      <c r="U7" s="12">
        <v>0</v>
      </c>
      <c r="V7" s="10">
        <v>0</v>
      </c>
      <c r="W7" s="12">
        <v>0</v>
      </c>
      <c r="X7" s="12">
        <v>0</v>
      </c>
      <c r="Y7" s="10">
        <v>0</v>
      </c>
    </row>
    <row r="8" spans="1:25" x14ac:dyDescent="0.3">
      <c r="A8" s="9" t="s">
        <v>131</v>
      </c>
      <c r="B8" s="6">
        <v>2022</v>
      </c>
      <c r="C8" s="10">
        <v>7</v>
      </c>
      <c r="D8" s="6" t="s">
        <v>142</v>
      </c>
      <c r="E8" s="6" t="s">
        <v>133</v>
      </c>
      <c r="F8" s="6" t="s">
        <v>134</v>
      </c>
      <c r="G8" s="11" t="s">
        <v>134</v>
      </c>
      <c r="H8" s="6" t="s">
        <v>135</v>
      </c>
      <c r="I8" s="6" t="s">
        <v>135</v>
      </c>
      <c r="J8" s="6" t="s">
        <v>134</v>
      </c>
      <c r="K8" s="12">
        <v>0</v>
      </c>
      <c r="L8" s="12">
        <v>0</v>
      </c>
      <c r="M8" s="10">
        <v>0</v>
      </c>
      <c r="N8" s="12">
        <v>0</v>
      </c>
      <c r="O8" s="12">
        <v>0</v>
      </c>
      <c r="P8" s="10">
        <v>0</v>
      </c>
      <c r="Q8" s="12">
        <v>0</v>
      </c>
      <c r="R8" s="12">
        <v>0</v>
      </c>
      <c r="S8" s="10">
        <v>0</v>
      </c>
      <c r="T8" s="12">
        <v>0</v>
      </c>
      <c r="U8" s="12">
        <v>0</v>
      </c>
      <c r="V8" s="10">
        <v>0</v>
      </c>
      <c r="W8" s="12">
        <v>0</v>
      </c>
      <c r="X8" s="12">
        <v>0</v>
      </c>
      <c r="Y8" s="10">
        <v>0</v>
      </c>
    </row>
    <row r="9" spans="1:25" x14ac:dyDescent="0.3">
      <c r="A9" s="9" t="s">
        <v>131</v>
      </c>
      <c r="B9" s="6">
        <v>2022</v>
      </c>
      <c r="C9" s="10">
        <v>8</v>
      </c>
      <c r="D9" s="6" t="s">
        <v>143</v>
      </c>
      <c r="E9" s="6" t="s">
        <v>133</v>
      </c>
      <c r="F9" s="6" t="s">
        <v>134</v>
      </c>
      <c r="G9" s="11" t="s">
        <v>134</v>
      </c>
      <c r="H9" s="6" t="s">
        <v>135</v>
      </c>
      <c r="I9" s="6" t="s">
        <v>135</v>
      </c>
      <c r="J9" s="6" t="s">
        <v>134</v>
      </c>
      <c r="K9" s="12">
        <v>0</v>
      </c>
      <c r="L9" s="12">
        <v>0</v>
      </c>
      <c r="M9" s="10">
        <v>0</v>
      </c>
      <c r="N9" s="12">
        <v>0</v>
      </c>
      <c r="O9" s="12">
        <v>0</v>
      </c>
      <c r="P9" s="10">
        <v>0</v>
      </c>
      <c r="Q9" s="12">
        <v>0</v>
      </c>
      <c r="R9" s="12">
        <v>0</v>
      </c>
      <c r="S9" s="10">
        <v>0</v>
      </c>
      <c r="T9" s="12">
        <v>0</v>
      </c>
      <c r="U9" s="12">
        <v>0</v>
      </c>
      <c r="V9" s="10">
        <v>0</v>
      </c>
      <c r="W9" s="12">
        <v>0</v>
      </c>
      <c r="X9" s="12">
        <v>0</v>
      </c>
      <c r="Y9" s="10">
        <v>0</v>
      </c>
    </row>
    <row r="10" spans="1:25" x14ac:dyDescent="0.3">
      <c r="A10" s="9" t="s">
        <v>131</v>
      </c>
      <c r="B10" s="6">
        <v>2022</v>
      </c>
      <c r="C10" s="10">
        <v>9</v>
      </c>
      <c r="D10" s="6" t="s">
        <v>144</v>
      </c>
      <c r="E10" s="6" t="s">
        <v>133</v>
      </c>
      <c r="F10" s="6" t="s">
        <v>134</v>
      </c>
      <c r="G10" s="11" t="s">
        <v>134</v>
      </c>
      <c r="H10" s="6" t="s">
        <v>135</v>
      </c>
      <c r="I10" s="6" t="s">
        <v>135</v>
      </c>
      <c r="J10" s="6" t="s">
        <v>134</v>
      </c>
      <c r="K10" s="12">
        <v>0</v>
      </c>
      <c r="L10" s="12">
        <v>0</v>
      </c>
      <c r="M10" s="10">
        <v>0</v>
      </c>
      <c r="N10" s="12">
        <v>0</v>
      </c>
      <c r="O10" s="12">
        <v>0</v>
      </c>
      <c r="P10" s="10">
        <v>0</v>
      </c>
      <c r="Q10" s="12">
        <v>0</v>
      </c>
      <c r="R10" s="12">
        <v>0</v>
      </c>
      <c r="S10" s="10">
        <v>0</v>
      </c>
      <c r="T10" s="12">
        <v>0</v>
      </c>
      <c r="U10" s="12">
        <v>0</v>
      </c>
      <c r="V10" s="10">
        <v>0</v>
      </c>
      <c r="W10" s="12">
        <v>0</v>
      </c>
      <c r="X10" s="12">
        <v>0</v>
      </c>
      <c r="Y10" s="10">
        <v>0</v>
      </c>
    </row>
    <row r="11" spans="1:25" x14ac:dyDescent="0.3">
      <c r="A11" s="9" t="s">
        <v>131</v>
      </c>
      <c r="B11" s="6">
        <v>2022</v>
      </c>
      <c r="C11" s="10">
        <v>10</v>
      </c>
      <c r="D11" s="6" t="s">
        <v>145</v>
      </c>
      <c r="E11" s="6" t="s">
        <v>133</v>
      </c>
      <c r="F11" s="6" t="s">
        <v>134</v>
      </c>
      <c r="G11" s="11" t="s">
        <v>134</v>
      </c>
      <c r="H11" s="6" t="s">
        <v>135</v>
      </c>
      <c r="I11" s="6" t="s">
        <v>135</v>
      </c>
      <c r="J11" s="6" t="s">
        <v>134</v>
      </c>
      <c r="K11" s="12">
        <v>0</v>
      </c>
      <c r="L11" s="12">
        <v>0</v>
      </c>
      <c r="M11" s="10">
        <v>0</v>
      </c>
      <c r="N11" s="12">
        <v>0</v>
      </c>
      <c r="O11" s="12">
        <v>0</v>
      </c>
      <c r="P11" s="10">
        <v>0</v>
      </c>
      <c r="Q11" s="12">
        <v>0</v>
      </c>
      <c r="R11" s="12">
        <v>0</v>
      </c>
      <c r="S11" s="10">
        <v>0</v>
      </c>
      <c r="T11" s="12">
        <v>0</v>
      </c>
      <c r="U11" s="12">
        <v>0</v>
      </c>
      <c r="V11" s="10">
        <v>0</v>
      </c>
      <c r="W11" s="12">
        <v>0</v>
      </c>
      <c r="X11" s="12">
        <v>0</v>
      </c>
      <c r="Y11" s="10">
        <v>0</v>
      </c>
    </row>
    <row r="12" spans="1:25" x14ac:dyDescent="0.3">
      <c r="A12" s="9" t="s">
        <v>131</v>
      </c>
      <c r="B12" s="6">
        <v>2022</v>
      </c>
      <c r="C12" s="10">
        <v>11</v>
      </c>
      <c r="D12" s="6" t="s">
        <v>146</v>
      </c>
      <c r="E12" s="6" t="s">
        <v>133</v>
      </c>
      <c r="F12" s="6" t="s">
        <v>134</v>
      </c>
      <c r="G12" s="11" t="s">
        <v>134</v>
      </c>
      <c r="H12" s="6" t="s">
        <v>135</v>
      </c>
      <c r="I12" s="6" t="s">
        <v>135</v>
      </c>
      <c r="J12" s="6" t="s">
        <v>134</v>
      </c>
      <c r="K12" s="12">
        <v>0</v>
      </c>
      <c r="L12" s="12">
        <v>0</v>
      </c>
      <c r="M12" s="10">
        <v>0</v>
      </c>
      <c r="N12" s="12">
        <v>0</v>
      </c>
      <c r="O12" s="12">
        <v>0</v>
      </c>
      <c r="P12" s="10">
        <v>0</v>
      </c>
      <c r="Q12" s="12">
        <v>0</v>
      </c>
      <c r="R12" s="12">
        <v>0</v>
      </c>
      <c r="S12" s="10">
        <v>0</v>
      </c>
      <c r="T12" s="12">
        <v>0</v>
      </c>
      <c r="U12" s="12">
        <v>0</v>
      </c>
      <c r="V12" s="10">
        <v>0</v>
      </c>
      <c r="W12" s="12">
        <v>0</v>
      </c>
      <c r="X12" s="12">
        <v>0</v>
      </c>
      <c r="Y12" s="10">
        <v>0</v>
      </c>
    </row>
    <row r="13" spans="1:25" x14ac:dyDescent="0.3">
      <c r="A13" s="9" t="s">
        <v>131</v>
      </c>
      <c r="B13" s="6">
        <v>2022</v>
      </c>
      <c r="C13" s="10">
        <v>12</v>
      </c>
      <c r="D13" s="6" t="s">
        <v>147</v>
      </c>
      <c r="E13" s="6" t="s">
        <v>133</v>
      </c>
      <c r="F13" s="6" t="s">
        <v>134</v>
      </c>
      <c r="G13" s="13" t="s">
        <v>148</v>
      </c>
      <c r="H13" s="6" t="s">
        <v>135</v>
      </c>
      <c r="I13" s="6" t="s">
        <v>135</v>
      </c>
      <c r="J13" s="6" t="s">
        <v>134</v>
      </c>
      <c r="K13" s="12">
        <v>0</v>
      </c>
      <c r="L13" s="12">
        <v>0</v>
      </c>
      <c r="M13" s="10">
        <v>0</v>
      </c>
      <c r="N13" s="12">
        <v>0</v>
      </c>
      <c r="O13" s="12">
        <v>0</v>
      </c>
      <c r="P13" s="10">
        <v>0</v>
      </c>
      <c r="Q13" s="12">
        <v>0</v>
      </c>
      <c r="R13" s="12">
        <v>0</v>
      </c>
      <c r="S13" s="10">
        <v>0</v>
      </c>
      <c r="T13" s="12">
        <v>0</v>
      </c>
      <c r="U13" s="12">
        <v>0</v>
      </c>
      <c r="V13" s="10">
        <v>0</v>
      </c>
      <c r="W13" s="12">
        <v>0</v>
      </c>
      <c r="X13" s="12">
        <v>0</v>
      </c>
      <c r="Y13" s="10">
        <v>0</v>
      </c>
    </row>
    <row r="14" spans="1:25" x14ac:dyDescent="0.3">
      <c r="A14" s="9" t="s">
        <v>131</v>
      </c>
      <c r="B14" s="6">
        <v>2022</v>
      </c>
      <c r="C14" s="10">
        <v>13</v>
      </c>
      <c r="D14" s="6" t="s">
        <v>149</v>
      </c>
      <c r="E14" s="6" t="s">
        <v>133</v>
      </c>
      <c r="F14" s="6" t="s">
        <v>134</v>
      </c>
      <c r="G14" s="13" t="s">
        <v>150</v>
      </c>
      <c r="H14" s="6" t="s">
        <v>135</v>
      </c>
      <c r="I14" s="6" t="s">
        <v>135</v>
      </c>
      <c r="J14" s="6" t="s">
        <v>134</v>
      </c>
      <c r="K14" s="12">
        <v>0</v>
      </c>
      <c r="L14" s="12">
        <v>0</v>
      </c>
      <c r="M14" s="10">
        <v>0</v>
      </c>
      <c r="N14" s="12">
        <v>0</v>
      </c>
      <c r="O14" s="12">
        <v>0</v>
      </c>
      <c r="P14" s="10">
        <v>0</v>
      </c>
      <c r="Q14" s="12">
        <v>0</v>
      </c>
      <c r="R14" s="12">
        <v>0</v>
      </c>
      <c r="S14" s="10">
        <v>0</v>
      </c>
      <c r="T14" s="12">
        <v>0</v>
      </c>
      <c r="U14" s="12">
        <v>0</v>
      </c>
      <c r="V14" s="10">
        <v>0</v>
      </c>
      <c r="W14" s="12">
        <v>0</v>
      </c>
      <c r="X14" s="12">
        <v>0</v>
      </c>
      <c r="Y14" s="10">
        <v>0</v>
      </c>
    </row>
    <row r="15" spans="1:25" x14ac:dyDescent="0.3">
      <c r="A15" s="9" t="s">
        <v>131</v>
      </c>
      <c r="B15" s="6">
        <v>2022</v>
      </c>
      <c r="C15" s="10">
        <v>14</v>
      </c>
      <c r="D15" s="6" t="s">
        <v>151</v>
      </c>
      <c r="E15" s="6" t="s">
        <v>64</v>
      </c>
      <c r="F15" s="6" t="s">
        <v>152</v>
      </c>
      <c r="G15" s="11" t="s">
        <v>134</v>
      </c>
      <c r="H15" s="6" t="s">
        <v>135</v>
      </c>
      <c r="I15" s="6" t="s">
        <v>135</v>
      </c>
      <c r="J15" s="6" t="s">
        <v>134</v>
      </c>
      <c r="K15" s="12">
        <v>100</v>
      </c>
      <c r="L15" s="12">
        <v>13</v>
      </c>
      <c r="M15" s="10">
        <v>60</v>
      </c>
      <c r="N15" s="12">
        <v>0</v>
      </c>
      <c r="O15" s="12">
        <v>0</v>
      </c>
      <c r="P15" s="10">
        <v>0</v>
      </c>
      <c r="Q15" s="12">
        <v>0</v>
      </c>
      <c r="R15" s="12">
        <v>0</v>
      </c>
      <c r="S15" s="10">
        <v>0</v>
      </c>
      <c r="T15" s="12">
        <v>0</v>
      </c>
      <c r="U15" s="12">
        <v>0</v>
      </c>
      <c r="V15" s="10">
        <v>0</v>
      </c>
      <c r="W15" s="12">
        <v>0</v>
      </c>
      <c r="X15" s="12">
        <v>0</v>
      </c>
      <c r="Y15" s="10">
        <v>0</v>
      </c>
    </row>
    <row r="16" spans="1:25" x14ac:dyDescent="0.3">
      <c r="A16" s="9" t="s">
        <v>131</v>
      </c>
      <c r="B16" s="6">
        <v>2022</v>
      </c>
      <c r="C16" s="10">
        <v>15</v>
      </c>
      <c r="D16" s="6" t="s">
        <v>153</v>
      </c>
      <c r="E16" s="6" t="s">
        <v>64</v>
      </c>
      <c r="F16" s="6" t="s">
        <v>152</v>
      </c>
      <c r="G16" s="11" t="s">
        <v>134</v>
      </c>
      <c r="H16" s="6" t="s">
        <v>135</v>
      </c>
      <c r="I16" s="6" t="s">
        <v>135</v>
      </c>
      <c r="J16" s="6" t="s">
        <v>134</v>
      </c>
      <c r="K16" s="12">
        <v>100</v>
      </c>
      <c r="L16" s="12">
        <v>13</v>
      </c>
      <c r="M16" s="10">
        <v>60</v>
      </c>
      <c r="N16" s="12">
        <v>0</v>
      </c>
      <c r="O16" s="12">
        <v>0</v>
      </c>
      <c r="P16" s="10">
        <v>0</v>
      </c>
      <c r="Q16" s="12">
        <v>0</v>
      </c>
      <c r="R16" s="12">
        <v>0</v>
      </c>
      <c r="S16" s="10">
        <v>0</v>
      </c>
      <c r="T16" s="12">
        <v>0</v>
      </c>
      <c r="U16" s="12">
        <v>0</v>
      </c>
      <c r="V16" s="10">
        <v>0</v>
      </c>
      <c r="W16" s="12">
        <v>0</v>
      </c>
      <c r="X16" s="12">
        <v>0</v>
      </c>
      <c r="Y16" s="10">
        <v>0</v>
      </c>
    </row>
    <row r="17" spans="1:25" x14ac:dyDescent="0.3">
      <c r="A17" s="9" t="s">
        <v>131</v>
      </c>
      <c r="B17" s="6">
        <v>2022</v>
      </c>
      <c r="C17" s="10">
        <v>16</v>
      </c>
      <c r="D17" s="6" t="s">
        <v>154</v>
      </c>
      <c r="E17" s="6" t="s">
        <v>64</v>
      </c>
      <c r="F17" s="6" t="s">
        <v>152</v>
      </c>
      <c r="G17" s="11" t="s">
        <v>134</v>
      </c>
      <c r="H17" s="6" t="s">
        <v>135</v>
      </c>
      <c r="I17" s="6" t="s">
        <v>135</v>
      </c>
      <c r="J17" s="6" t="s">
        <v>134</v>
      </c>
      <c r="K17" s="12">
        <v>100</v>
      </c>
      <c r="L17" s="12">
        <v>13</v>
      </c>
      <c r="M17" s="10">
        <v>60</v>
      </c>
      <c r="N17" s="12">
        <v>0</v>
      </c>
      <c r="O17" s="12">
        <v>0</v>
      </c>
      <c r="P17" s="10">
        <v>0</v>
      </c>
      <c r="Q17" s="12">
        <v>0</v>
      </c>
      <c r="R17" s="12">
        <v>0</v>
      </c>
      <c r="S17" s="10">
        <v>0</v>
      </c>
      <c r="T17" s="12">
        <v>0</v>
      </c>
      <c r="U17" s="12">
        <v>0</v>
      </c>
      <c r="V17" s="10">
        <v>0</v>
      </c>
      <c r="W17" s="12">
        <v>0</v>
      </c>
      <c r="X17" s="12">
        <v>0</v>
      </c>
      <c r="Y17" s="10">
        <v>0</v>
      </c>
    </row>
    <row r="18" spans="1:25" x14ac:dyDescent="0.3">
      <c r="A18" s="9" t="s">
        <v>131</v>
      </c>
      <c r="B18" s="6">
        <v>2022</v>
      </c>
      <c r="C18" s="10">
        <v>17</v>
      </c>
      <c r="D18" s="6" t="s">
        <v>155</v>
      </c>
      <c r="E18" s="6" t="s">
        <v>64</v>
      </c>
      <c r="F18" s="6" t="s">
        <v>134</v>
      </c>
      <c r="G18" s="13" t="s">
        <v>156</v>
      </c>
      <c r="H18" s="6" t="s">
        <v>135</v>
      </c>
      <c r="I18" s="6" t="s">
        <v>135</v>
      </c>
      <c r="J18" s="6" t="s">
        <v>134</v>
      </c>
      <c r="K18" s="12">
        <v>0</v>
      </c>
      <c r="L18" s="12">
        <v>0</v>
      </c>
      <c r="M18" s="10">
        <v>0</v>
      </c>
      <c r="N18" s="12">
        <v>0</v>
      </c>
      <c r="O18" s="12">
        <v>0</v>
      </c>
      <c r="P18" s="10">
        <v>0</v>
      </c>
      <c r="Q18" s="12">
        <v>0</v>
      </c>
      <c r="R18" s="12">
        <v>0</v>
      </c>
      <c r="S18" s="10">
        <v>0</v>
      </c>
      <c r="T18" s="12">
        <v>0</v>
      </c>
      <c r="U18" s="12">
        <v>0</v>
      </c>
      <c r="V18" s="10">
        <v>0</v>
      </c>
      <c r="W18" s="12">
        <v>0</v>
      </c>
      <c r="X18" s="12">
        <v>0</v>
      </c>
      <c r="Y18" s="10">
        <v>0</v>
      </c>
    </row>
    <row r="19" spans="1:25" x14ac:dyDescent="0.3">
      <c r="A19" s="9" t="s">
        <v>131</v>
      </c>
      <c r="B19" s="6">
        <v>2022</v>
      </c>
      <c r="C19" s="10">
        <v>18</v>
      </c>
      <c r="D19" s="6" t="s">
        <v>157</v>
      </c>
      <c r="E19" s="6" t="s">
        <v>64</v>
      </c>
      <c r="F19" s="6" t="s">
        <v>158</v>
      </c>
      <c r="G19" s="11" t="s">
        <v>134</v>
      </c>
      <c r="H19" s="6" t="s">
        <v>135</v>
      </c>
      <c r="I19" s="6" t="s">
        <v>135</v>
      </c>
      <c r="J19" s="6" t="s">
        <v>134</v>
      </c>
      <c r="K19" s="12">
        <v>100</v>
      </c>
      <c r="L19" s="12">
        <v>13</v>
      </c>
      <c r="M19" s="10">
        <v>60</v>
      </c>
      <c r="N19" s="12">
        <v>0</v>
      </c>
      <c r="O19" s="12">
        <v>0</v>
      </c>
      <c r="P19" s="10">
        <v>0</v>
      </c>
      <c r="Q19" s="12">
        <v>0</v>
      </c>
      <c r="R19" s="12">
        <v>0</v>
      </c>
      <c r="S19" s="10">
        <v>0</v>
      </c>
      <c r="T19" s="12">
        <v>0</v>
      </c>
      <c r="U19" s="12">
        <v>0</v>
      </c>
      <c r="V19" s="10">
        <v>0</v>
      </c>
      <c r="W19" s="12">
        <v>0</v>
      </c>
      <c r="X19" s="12">
        <v>0</v>
      </c>
      <c r="Y19" s="10">
        <v>0</v>
      </c>
    </row>
    <row r="20" spans="1:25" x14ac:dyDescent="0.3">
      <c r="A20" s="9" t="s">
        <v>131</v>
      </c>
      <c r="B20" s="6">
        <v>2022</v>
      </c>
      <c r="C20" s="10">
        <v>19</v>
      </c>
      <c r="D20" s="6" t="s">
        <v>159</v>
      </c>
      <c r="E20" s="6" t="s">
        <v>64</v>
      </c>
      <c r="F20" s="6" t="s">
        <v>160</v>
      </c>
      <c r="G20" s="11" t="s">
        <v>134</v>
      </c>
      <c r="H20" s="6" t="s">
        <v>135</v>
      </c>
      <c r="I20" s="6" t="s">
        <v>135</v>
      </c>
      <c r="J20" s="6" t="s">
        <v>134</v>
      </c>
      <c r="K20" s="12">
        <v>100</v>
      </c>
      <c r="L20" s="12">
        <v>13</v>
      </c>
      <c r="M20" s="10">
        <v>60</v>
      </c>
      <c r="N20" s="12">
        <v>0</v>
      </c>
      <c r="O20" s="12">
        <v>0</v>
      </c>
      <c r="P20" s="10">
        <v>0</v>
      </c>
      <c r="Q20" s="12">
        <v>0</v>
      </c>
      <c r="R20" s="12">
        <v>0</v>
      </c>
      <c r="S20" s="10">
        <v>0</v>
      </c>
      <c r="T20" s="12">
        <v>0</v>
      </c>
      <c r="U20" s="12">
        <v>0</v>
      </c>
      <c r="V20" s="10">
        <v>0</v>
      </c>
      <c r="W20" s="12">
        <v>0</v>
      </c>
      <c r="X20" s="12">
        <v>0</v>
      </c>
      <c r="Y20" s="10">
        <v>0</v>
      </c>
    </row>
    <row r="21" spans="1:25" x14ac:dyDescent="0.3">
      <c r="A21" s="9" t="s">
        <v>131</v>
      </c>
      <c r="B21" s="6">
        <v>2022</v>
      </c>
      <c r="C21" s="10">
        <v>20</v>
      </c>
      <c r="D21" s="6" t="s">
        <v>161</v>
      </c>
      <c r="E21" s="6" t="s">
        <v>64</v>
      </c>
      <c r="F21" s="6" t="s">
        <v>162</v>
      </c>
      <c r="G21" s="11" t="s">
        <v>134</v>
      </c>
      <c r="H21" s="6" t="s">
        <v>135</v>
      </c>
      <c r="I21" s="6" t="s">
        <v>135</v>
      </c>
      <c r="J21" s="6" t="s">
        <v>134</v>
      </c>
      <c r="K21" s="12">
        <v>100</v>
      </c>
      <c r="L21" s="12">
        <v>13</v>
      </c>
      <c r="M21" s="10">
        <v>60</v>
      </c>
      <c r="N21" s="12">
        <v>0</v>
      </c>
      <c r="O21" s="12">
        <v>0</v>
      </c>
      <c r="P21" s="10">
        <v>0</v>
      </c>
      <c r="Q21" s="12">
        <v>0</v>
      </c>
      <c r="R21" s="12">
        <v>0</v>
      </c>
      <c r="S21" s="10">
        <v>0</v>
      </c>
      <c r="T21" s="12">
        <v>0</v>
      </c>
      <c r="U21" s="12">
        <v>0</v>
      </c>
      <c r="V21" s="10">
        <v>0</v>
      </c>
      <c r="W21" s="12">
        <v>0</v>
      </c>
      <c r="X21" s="12">
        <v>0</v>
      </c>
      <c r="Y21" s="10">
        <v>0</v>
      </c>
    </row>
    <row r="22" spans="1:25" x14ac:dyDescent="0.3">
      <c r="A22" s="9" t="s">
        <v>131</v>
      </c>
      <c r="B22" s="6">
        <v>2022</v>
      </c>
      <c r="C22" s="10">
        <v>21</v>
      </c>
      <c r="D22" s="6" t="s">
        <v>163</v>
      </c>
      <c r="E22" s="6" t="s">
        <v>64</v>
      </c>
      <c r="F22" s="6" t="s">
        <v>164</v>
      </c>
      <c r="G22" s="11" t="s">
        <v>134</v>
      </c>
      <c r="H22" s="6" t="s">
        <v>135</v>
      </c>
      <c r="I22" s="6" t="s">
        <v>135</v>
      </c>
      <c r="J22" s="6" t="s">
        <v>134</v>
      </c>
      <c r="K22" s="12">
        <v>100</v>
      </c>
      <c r="L22" s="12">
        <v>13</v>
      </c>
      <c r="M22" s="10">
        <v>60</v>
      </c>
      <c r="N22" s="12">
        <v>0</v>
      </c>
      <c r="O22" s="12">
        <v>0</v>
      </c>
      <c r="P22" s="10">
        <v>0</v>
      </c>
      <c r="Q22" s="12">
        <v>0</v>
      </c>
      <c r="R22" s="12">
        <v>0</v>
      </c>
      <c r="S22" s="10">
        <v>0</v>
      </c>
      <c r="T22" s="12">
        <v>0</v>
      </c>
      <c r="U22" s="12">
        <v>0</v>
      </c>
      <c r="V22" s="10">
        <v>0</v>
      </c>
      <c r="W22" s="12">
        <v>0</v>
      </c>
      <c r="X22" s="12">
        <v>0</v>
      </c>
      <c r="Y22" s="10">
        <v>0</v>
      </c>
    </row>
    <row r="23" spans="1:25" x14ac:dyDescent="0.3">
      <c r="A23" s="9" t="s">
        <v>131</v>
      </c>
      <c r="B23" s="6">
        <v>2022</v>
      </c>
      <c r="C23" s="10">
        <v>22</v>
      </c>
      <c r="D23" s="6" t="s">
        <v>165</v>
      </c>
      <c r="E23" s="6" t="s">
        <v>64</v>
      </c>
      <c r="F23" s="6" t="s">
        <v>166</v>
      </c>
      <c r="G23" s="11" t="s">
        <v>134</v>
      </c>
      <c r="H23" s="6" t="s">
        <v>135</v>
      </c>
      <c r="I23" s="6" t="s">
        <v>135</v>
      </c>
      <c r="J23" s="6" t="s">
        <v>134</v>
      </c>
      <c r="K23" s="12">
        <v>100</v>
      </c>
      <c r="L23" s="12">
        <v>13</v>
      </c>
      <c r="M23" s="10">
        <v>60</v>
      </c>
      <c r="N23" s="12">
        <v>0</v>
      </c>
      <c r="O23" s="12">
        <v>0</v>
      </c>
      <c r="P23" s="10">
        <v>0</v>
      </c>
      <c r="Q23" s="12">
        <v>0</v>
      </c>
      <c r="R23" s="12">
        <v>0</v>
      </c>
      <c r="S23" s="10">
        <v>0</v>
      </c>
      <c r="T23" s="12">
        <v>0</v>
      </c>
      <c r="U23" s="12">
        <v>0</v>
      </c>
      <c r="V23" s="10">
        <v>0</v>
      </c>
      <c r="W23" s="12">
        <v>0</v>
      </c>
      <c r="X23" s="12">
        <v>0</v>
      </c>
      <c r="Y23" s="10">
        <v>0</v>
      </c>
    </row>
    <row r="24" spans="1:25" x14ac:dyDescent="0.3">
      <c r="A24" s="9" t="s">
        <v>131</v>
      </c>
      <c r="B24" s="6">
        <v>2022</v>
      </c>
      <c r="C24" s="10">
        <v>23</v>
      </c>
      <c r="D24" s="6" t="s">
        <v>167</v>
      </c>
      <c r="E24" s="6" t="s">
        <v>64</v>
      </c>
      <c r="F24" s="6" t="s">
        <v>168</v>
      </c>
      <c r="G24" s="11" t="s">
        <v>134</v>
      </c>
      <c r="H24" s="6" t="s">
        <v>135</v>
      </c>
      <c r="I24" s="6" t="s">
        <v>135</v>
      </c>
      <c r="J24" s="6" t="s">
        <v>134</v>
      </c>
      <c r="K24" s="12">
        <v>100</v>
      </c>
      <c r="L24" s="12">
        <v>13</v>
      </c>
      <c r="M24" s="10">
        <v>60</v>
      </c>
      <c r="N24" s="12">
        <v>0</v>
      </c>
      <c r="O24" s="12">
        <v>0</v>
      </c>
      <c r="P24" s="10">
        <v>0</v>
      </c>
      <c r="Q24" s="12">
        <v>0</v>
      </c>
      <c r="R24" s="12">
        <v>0</v>
      </c>
      <c r="S24" s="10">
        <v>0</v>
      </c>
      <c r="T24" s="12">
        <v>0</v>
      </c>
      <c r="U24" s="12">
        <v>0</v>
      </c>
      <c r="V24" s="10">
        <v>0</v>
      </c>
      <c r="W24" s="12">
        <v>0</v>
      </c>
      <c r="X24" s="12">
        <v>0</v>
      </c>
      <c r="Y24" s="10">
        <v>0</v>
      </c>
    </row>
    <row r="25" spans="1:25" x14ac:dyDescent="0.3">
      <c r="A25" s="9" t="s">
        <v>131</v>
      </c>
      <c r="B25" s="6">
        <v>2022</v>
      </c>
      <c r="C25" s="10">
        <v>24</v>
      </c>
      <c r="D25" s="6" t="s">
        <v>169</v>
      </c>
      <c r="E25" s="6" t="s">
        <v>64</v>
      </c>
      <c r="F25" s="6" t="s">
        <v>170</v>
      </c>
      <c r="G25" s="11" t="s">
        <v>134</v>
      </c>
      <c r="H25" s="6" t="s">
        <v>135</v>
      </c>
      <c r="I25" s="6" t="s">
        <v>135</v>
      </c>
      <c r="J25" s="6" t="s">
        <v>134</v>
      </c>
      <c r="K25" s="12">
        <v>100</v>
      </c>
      <c r="L25" s="12">
        <v>13</v>
      </c>
      <c r="M25" s="10">
        <v>60</v>
      </c>
      <c r="N25" s="12">
        <v>0</v>
      </c>
      <c r="O25" s="12">
        <v>0</v>
      </c>
      <c r="P25" s="10">
        <v>0</v>
      </c>
      <c r="Q25" s="12">
        <v>0</v>
      </c>
      <c r="R25" s="12">
        <v>0</v>
      </c>
      <c r="S25" s="10">
        <v>0</v>
      </c>
      <c r="T25" s="12">
        <v>0</v>
      </c>
      <c r="U25" s="12">
        <v>0</v>
      </c>
      <c r="V25" s="10">
        <v>0</v>
      </c>
      <c r="W25" s="12">
        <v>0</v>
      </c>
      <c r="X25" s="12">
        <v>0</v>
      </c>
      <c r="Y25" s="10">
        <v>0</v>
      </c>
    </row>
    <row r="26" spans="1:25" x14ac:dyDescent="0.3">
      <c r="A26" s="9" t="s">
        <v>131</v>
      </c>
      <c r="B26" s="6">
        <v>2022</v>
      </c>
      <c r="C26" s="10">
        <v>25</v>
      </c>
      <c r="D26" s="6" t="s">
        <v>171</v>
      </c>
      <c r="E26" s="6" t="s">
        <v>64</v>
      </c>
      <c r="F26" s="6" t="s">
        <v>172</v>
      </c>
      <c r="G26" s="11" t="s">
        <v>134</v>
      </c>
      <c r="H26" s="6" t="s">
        <v>135</v>
      </c>
      <c r="I26" s="6" t="s">
        <v>135</v>
      </c>
      <c r="J26" s="6" t="s">
        <v>134</v>
      </c>
      <c r="K26" s="12">
        <v>100</v>
      </c>
      <c r="L26" s="12">
        <v>13</v>
      </c>
      <c r="M26" s="10">
        <v>60</v>
      </c>
      <c r="N26" s="12">
        <v>0</v>
      </c>
      <c r="O26" s="12">
        <v>0</v>
      </c>
      <c r="P26" s="10">
        <v>0</v>
      </c>
      <c r="Q26" s="12">
        <v>0</v>
      </c>
      <c r="R26" s="12">
        <v>0</v>
      </c>
      <c r="S26" s="10">
        <v>0</v>
      </c>
      <c r="T26" s="12">
        <v>0</v>
      </c>
      <c r="U26" s="12">
        <v>0</v>
      </c>
      <c r="V26" s="10">
        <v>0</v>
      </c>
      <c r="W26" s="12">
        <v>0</v>
      </c>
      <c r="X26" s="12">
        <v>0</v>
      </c>
      <c r="Y26" s="10">
        <v>0</v>
      </c>
    </row>
    <row r="27" spans="1:25" x14ac:dyDescent="0.3">
      <c r="A27" s="9" t="s">
        <v>131</v>
      </c>
      <c r="B27" s="6">
        <v>2022</v>
      </c>
      <c r="C27" s="10">
        <v>26</v>
      </c>
      <c r="D27" s="6" t="s">
        <v>173</v>
      </c>
      <c r="E27" s="6" t="s">
        <v>64</v>
      </c>
      <c r="F27" s="6" t="s">
        <v>152</v>
      </c>
      <c r="G27" s="11" t="s">
        <v>134</v>
      </c>
      <c r="H27" s="6" t="s">
        <v>135</v>
      </c>
      <c r="I27" s="6" t="s">
        <v>135</v>
      </c>
      <c r="J27" s="6" t="s">
        <v>134</v>
      </c>
      <c r="K27" s="12">
        <v>100</v>
      </c>
      <c r="L27" s="12">
        <v>13</v>
      </c>
      <c r="M27" s="10">
        <v>60</v>
      </c>
      <c r="N27" s="12">
        <v>0</v>
      </c>
      <c r="O27" s="12">
        <v>0</v>
      </c>
      <c r="P27" s="10">
        <v>0</v>
      </c>
      <c r="Q27" s="12">
        <v>0</v>
      </c>
      <c r="R27" s="12">
        <v>0</v>
      </c>
      <c r="S27" s="10">
        <v>0</v>
      </c>
      <c r="T27" s="12">
        <v>0</v>
      </c>
      <c r="U27" s="12">
        <v>0</v>
      </c>
      <c r="V27" s="10">
        <v>0</v>
      </c>
      <c r="W27" s="12">
        <v>0</v>
      </c>
      <c r="X27" s="12">
        <v>0</v>
      </c>
      <c r="Y27" s="10">
        <v>0</v>
      </c>
    </row>
    <row r="28" spans="1:25" x14ac:dyDescent="0.3">
      <c r="A28" s="9" t="s">
        <v>131</v>
      </c>
      <c r="B28" s="6">
        <v>2022</v>
      </c>
      <c r="C28" s="10">
        <v>27</v>
      </c>
      <c r="D28" s="6" t="s">
        <v>174</v>
      </c>
      <c r="E28" s="6" t="s">
        <v>64</v>
      </c>
      <c r="F28" s="6" t="s">
        <v>134</v>
      </c>
      <c r="G28" s="11" t="s">
        <v>134</v>
      </c>
      <c r="H28" s="6" t="s">
        <v>135</v>
      </c>
      <c r="I28" s="6" t="s">
        <v>135</v>
      </c>
      <c r="J28" s="6" t="s">
        <v>134</v>
      </c>
      <c r="K28" s="12">
        <v>0</v>
      </c>
      <c r="L28" s="12">
        <v>0</v>
      </c>
      <c r="M28" s="10">
        <v>0</v>
      </c>
      <c r="N28" s="12">
        <v>0</v>
      </c>
      <c r="O28" s="12">
        <v>0</v>
      </c>
      <c r="P28" s="10">
        <v>0</v>
      </c>
      <c r="Q28" s="12">
        <v>0</v>
      </c>
      <c r="R28" s="12">
        <v>0</v>
      </c>
      <c r="S28" s="10">
        <v>0</v>
      </c>
      <c r="T28" s="12">
        <v>0</v>
      </c>
      <c r="U28" s="12">
        <v>0</v>
      </c>
      <c r="V28" s="10">
        <v>0</v>
      </c>
      <c r="W28" s="12">
        <v>0</v>
      </c>
      <c r="X28" s="12">
        <v>0</v>
      </c>
      <c r="Y28" s="10">
        <v>0</v>
      </c>
    </row>
    <row r="29" spans="1:25" x14ac:dyDescent="0.3">
      <c r="A29" s="9" t="s">
        <v>131</v>
      </c>
      <c r="B29" s="6">
        <v>2022</v>
      </c>
      <c r="C29" s="10">
        <v>28</v>
      </c>
      <c r="D29" s="6" t="s">
        <v>174</v>
      </c>
      <c r="E29" s="6" t="s">
        <v>64</v>
      </c>
      <c r="F29" s="6" t="s">
        <v>134</v>
      </c>
      <c r="G29" s="11" t="s">
        <v>134</v>
      </c>
      <c r="H29" s="6" t="s">
        <v>135</v>
      </c>
      <c r="I29" s="6" t="s">
        <v>135</v>
      </c>
      <c r="J29" s="6" t="s">
        <v>134</v>
      </c>
      <c r="K29" s="12">
        <v>0</v>
      </c>
      <c r="L29" s="12">
        <v>0</v>
      </c>
      <c r="M29" s="10">
        <v>0</v>
      </c>
      <c r="N29" s="12">
        <v>0</v>
      </c>
      <c r="O29" s="12">
        <v>0</v>
      </c>
      <c r="P29" s="10">
        <v>0</v>
      </c>
      <c r="Q29" s="12">
        <v>0</v>
      </c>
      <c r="R29" s="12">
        <v>0</v>
      </c>
      <c r="S29" s="10">
        <v>0</v>
      </c>
      <c r="T29" s="12">
        <v>0</v>
      </c>
      <c r="U29" s="12">
        <v>0</v>
      </c>
      <c r="V29" s="10">
        <v>0</v>
      </c>
      <c r="W29" s="12">
        <v>0</v>
      </c>
      <c r="X29" s="12">
        <v>0</v>
      </c>
      <c r="Y29" s="10">
        <v>0</v>
      </c>
    </row>
    <row r="30" spans="1:25" x14ac:dyDescent="0.3">
      <c r="A30" s="9" t="s">
        <v>131</v>
      </c>
      <c r="B30" s="6">
        <v>2022</v>
      </c>
      <c r="C30" s="10">
        <v>29</v>
      </c>
      <c r="D30" s="6" t="s">
        <v>175</v>
      </c>
      <c r="E30" s="6" t="s">
        <v>64</v>
      </c>
      <c r="F30" s="6" t="s">
        <v>134</v>
      </c>
      <c r="G30" s="13" t="s">
        <v>176</v>
      </c>
      <c r="H30" s="6" t="s">
        <v>135</v>
      </c>
      <c r="I30" s="6" t="s">
        <v>135</v>
      </c>
      <c r="J30" s="6" t="s">
        <v>134</v>
      </c>
      <c r="K30" s="12">
        <v>0</v>
      </c>
      <c r="L30" s="12">
        <v>0</v>
      </c>
      <c r="M30" s="10">
        <v>0</v>
      </c>
      <c r="N30" s="12">
        <v>0</v>
      </c>
      <c r="O30" s="12">
        <v>0</v>
      </c>
      <c r="P30" s="10">
        <v>0</v>
      </c>
      <c r="Q30" s="12">
        <v>0</v>
      </c>
      <c r="R30" s="12">
        <v>0</v>
      </c>
      <c r="S30" s="10">
        <v>0</v>
      </c>
      <c r="T30" s="12">
        <v>0</v>
      </c>
      <c r="U30" s="12">
        <v>0</v>
      </c>
      <c r="V30" s="10">
        <v>0</v>
      </c>
      <c r="W30" s="12">
        <v>0</v>
      </c>
      <c r="X30" s="12">
        <v>0</v>
      </c>
      <c r="Y30" s="10">
        <v>0</v>
      </c>
    </row>
    <row r="31" spans="1:25" x14ac:dyDescent="0.3">
      <c r="A31" s="9" t="s">
        <v>131</v>
      </c>
      <c r="B31" s="6">
        <v>2022</v>
      </c>
      <c r="C31" s="10">
        <v>30</v>
      </c>
      <c r="D31" s="6" t="s">
        <v>177</v>
      </c>
      <c r="E31" s="6" t="s">
        <v>64</v>
      </c>
      <c r="F31" s="6" t="s">
        <v>178</v>
      </c>
      <c r="G31" s="11" t="s">
        <v>134</v>
      </c>
      <c r="H31" s="6" t="s">
        <v>135</v>
      </c>
      <c r="I31" s="6" t="s">
        <v>135</v>
      </c>
      <c r="J31" s="6" t="s">
        <v>134</v>
      </c>
      <c r="K31" s="12">
        <v>100</v>
      </c>
      <c r="L31" s="12">
        <v>13</v>
      </c>
      <c r="M31" s="10">
        <v>60</v>
      </c>
      <c r="N31" s="12">
        <v>0</v>
      </c>
      <c r="O31" s="12">
        <v>0</v>
      </c>
      <c r="P31" s="10">
        <v>0</v>
      </c>
      <c r="Q31" s="12">
        <v>0</v>
      </c>
      <c r="R31" s="12">
        <v>0</v>
      </c>
      <c r="S31" s="10">
        <v>0</v>
      </c>
      <c r="T31" s="12">
        <v>0</v>
      </c>
      <c r="U31" s="12">
        <v>0</v>
      </c>
      <c r="V31" s="10">
        <v>0</v>
      </c>
      <c r="W31" s="12">
        <v>0</v>
      </c>
      <c r="X31" s="12">
        <v>0</v>
      </c>
      <c r="Y31" s="10">
        <v>0</v>
      </c>
    </row>
    <row r="32" spans="1:25" x14ac:dyDescent="0.3">
      <c r="A32" s="9" t="s">
        <v>131</v>
      </c>
      <c r="B32" s="6">
        <v>2022</v>
      </c>
      <c r="C32" s="10">
        <v>31</v>
      </c>
      <c r="D32" s="6" t="s">
        <v>179</v>
      </c>
      <c r="E32" s="6" t="s">
        <v>64</v>
      </c>
      <c r="F32" s="6" t="s">
        <v>180</v>
      </c>
      <c r="G32" s="11" t="s">
        <v>134</v>
      </c>
      <c r="H32" s="6" t="s">
        <v>135</v>
      </c>
      <c r="I32" s="6" t="s">
        <v>135</v>
      </c>
      <c r="J32" s="6" t="s">
        <v>134</v>
      </c>
      <c r="K32" s="12">
        <v>100</v>
      </c>
      <c r="L32" s="12">
        <v>13</v>
      </c>
      <c r="M32" s="10">
        <v>60</v>
      </c>
      <c r="N32" s="12">
        <v>0</v>
      </c>
      <c r="O32" s="12">
        <v>0</v>
      </c>
      <c r="P32" s="10">
        <v>0</v>
      </c>
      <c r="Q32" s="12">
        <v>0</v>
      </c>
      <c r="R32" s="12">
        <v>0</v>
      </c>
      <c r="S32" s="10">
        <v>0</v>
      </c>
      <c r="T32" s="12">
        <v>0</v>
      </c>
      <c r="U32" s="12">
        <v>0</v>
      </c>
      <c r="V32" s="10">
        <v>0</v>
      </c>
      <c r="W32" s="12">
        <v>0</v>
      </c>
      <c r="X32" s="12">
        <v>0</v>
      </c>
      <c r="Y32" s="10">
        <v>0</v>
      </c>
    </row>
    <row r="33" spans="1:25" x14ac:dyDescent="0.3">
      <c r="A33" s="9" t="s">
        <v>131</v>
      </c>
      <c r="B33" s="6">
        <v>2022</v>
      </c>
      <c r="C33" s="10">
        <v>32</v>
      </c>
      <c r="D33" s="6" t="s">
        <v>181</v>
      </c>
      <c r="E33" s="6" t="s">
        <v>64</v>
      </c>
      <c r="F33" s="6" t="s">
        <v>182</v>
      </c>
      <c r="G33" s="11" t="s">
        <v>134</v>
      </c>
      <c r="H33" s="6" t="s">
        <v>135</v>
      </c>
      <c r="I33" s="6" t="s">
        <v>135</v>
      </c>
      <c r="J33" s="6" t="s">
        <v>134</v>
      </c>
      <c r="K33" s="12">
        <v>100</v>
      </c>
      <c r="L33" s="12">
        <v>13</v>
      </c>
      <c r="M33" s="10">
        <v>60</v>
      </c>
      <c r="N33" s="12">
        <v>0</v>
      </c>
      <c r="O33" s="12">
        <v>0</v>
      </c>
      <c r="P33" s="10">
        <v>0</v>
      </c>
      <c r="Q33" s="12">
        <v>0</v>
      </c>
      <c r="R33" s="12">
        <v>0</v>
      </c>
      <c r="S33" s="10">
        <v>0</v>
      </c>
      <c r="T33" s="12">
        <v>0</v>
      </c>
      <c r="U33" s="12">
        <v>0</v>
      </c>
      <c r="V33" s="10">
        <v>0</v>
      </c>
      <c r="W33" s="12">
        <v>0</v>
      </c>
      <c r="X33" s="12">
        <v>0</v>
      </c>
      <c r="Y33" s="10">
        <v>0</v>
      </c>
    </row>
    <row r="34" spans="1:25" x14ac:dyDescent="0.3">
      <c r="A34" s="9" t="s">
        <v>131</v>
      </c>
      <c r="B34" s="6">
        <v>2022</v>
      </c>
      <c r="C34" s="10">
        <v>33</v>
      </c>
      <c r="D34" s="6" t="s">
        <v>183</v>
      </c>
      <c r="E34" s="6" t="s">
        <v>64</v>
      </c>
      <c r="F34" s="6" t="s">
        <v>184</v>
      </c>
      <c r="G34" s="11" t="s">
        <v>134</v>
      </c>
      <c r="H34" s="6" t="s">
        <v>135</v>
      </c>
      <c r="I34" s="6" t="s">
        <v>135</v>
      </c>
      <c r="J34" s="6" t="s">
        <v>134</v>
      </c>
      <c r="K34" s="12">
        <v>100</v>
      </c>
      <c r="L34" s="12">
        <v>13</v>
      </c>
      <c r="M34" s="10">
        <v>60</v>
      </c>
      <c r="N34" s="12">
        <v>0</v>
      </c>
      <c r="O34" s="12">
        <v>0</v>
      </c>
      <c r="P34" s="10">
        <v>0</v>
      </c>
      <c r="Q34" s="12">
        <v>0</v>
      </c>
      <c r="R34" s="12">
        <v>0</v>
      </c>
      <c r="S34" s="10">
        <v>0</v>
      </c>
      <c r="T34" s="12">
        <v>0</v>
      </c>
      <c r="U34" s="12">
        <v>0</v>
      </c>
      <c r="V34" s="10">
        <v>0</v>
      </c>
      <c r="W34" s="12">
        <v>0</v>
      </c>
      <c r="X34" s="12">
        <v>0</v>
      </c>
      <c r="Y34" s="10">
        <v>0</v>
      </c>
    </row>
    <row r="35" spans="1:25" x14ac:dyDescent="0.3">
      <c r="A35" s="9" t="s">
        <v>131</v>
      </c>
      <c r="B35" s="6">
        <v>2022</v>
      </c>
      <c r="C35" s="10">
        <v>34</v>
      </c>
      <c r="D35" s="6" t="s">
        <v>185</v>
      </c>
      <c r="E35" s="6" t="s">
        <v>64</v>
      </c>
      <c r="F35" s="6" t="s">
        <v>186</v>
      </c>
      <c r="G35" s="11" t="s">
        <v>134</v>
      </c>
      <c r="H35" s="6" t="s">
        <v>135</v>
      </c>
      <c r="I35" s="6" t="s">
        <v>135</v>
      </c>
      <c r="J35" s="6" t="s">
        <v>134</v>
      </c>
      <c r="K35" s="12">
        <v>100</v>
      </c>
      <c r="L35" s="12">
        <v>13</v>
      </c>
      <c r="M35" s="10">
        <v>60</v>
      </c>
      <c r="N35" s="12">
        <v>0</v>
      </c>
      <c r="O35" s="12">
        <v>0</v>
      </c>
      <c r="P35" s="10">
        <v>0</v>
      </c>
      <c r="Q35" s="12">
        <v>0</v>
      </c>
      <c r="R35" s="12">
        <v>0</v>
      </c>
      <c r="S35" s="10">
        <v>0</v>
      </c>
      <c r="T35" s="12">
        <v>0</v>
      </c>
      <c r="U35" s="12">
        <v>0</v>
      </c>
      <c r="V35" s="10">
        <v>0</v>
      </c>
      <c r="W35" s="12">
        <v>0</v>
      </c>
      <c r="X35" s="12">
        <v>0</v>
      </c>
      <c r="Y35" s="10">
        <v>0</v>
      </c>
    </row>
    <row r="36" spans="1:25" x14ac:dyDescent="0.3">
      <c r="A36" s="9" t="s">
        <v>131</v>
      </c>
      <c r="B36" s="6">
        <v>2022</v>
      </c>
      <c r="C36" s="10">
        <v>35</v>
      </c>
      <c r="D36" s="6" t="s">
        <v>187</v>
      </c>
      <c r="E36" s="6" t="s">
        <v>64</v>
      </c>
      <c r="F36" s="6" t="s">
        <v>188</v>
      </c>
      <c r="G36" s="11" t="s">
        <v>134</v>
      </c>
      <c r="H36" s="6" t="s">
        <v>135</v>
      </c>
      <c r="I36" s="6" t="s">
        <v>135</v>
      </c>
      <c r="J36" s="6" t="s">
        <v>134</v>
      </c>
      <c r="K36" s="12">
        <v>100</v>
      </c>
      <c r="L36" s="12">
        <v>13</v>
      </c>
      <c r="M36" s="10">
        <v>60</v>
      </c>
      <c r="N36" s="12">
        <v>0</v>
      </c>
      <c r="O36" s="12">
        <v>0</v>
      </c>
      <c r="P36" s="10">
        <v>0</v>
      </c>
      <c r="Q36" s="12">
        <v>0</v>
      </c>
      <c r="R36" s="12">
        <v>0</v>
      </c>
      <c r="S36" s="10">
        <v>0</v>
      </c>
      <c r="T36" s="12">
        <v>0</v>
      </c>
      <c r="U36" s="12">
        <v>0</v>
      </c>
      <c r="V36" s="10">
        <v>0</v>
      </c>
      <c r="W36" s="12">
        <v>0</v>
      </c>
      <c r="X36" s="12">
        <v>0</v>
      </c>
      <c r="Y36" s="10">
        <v>0</v>
      </c>
    </row>
    <row r="37" spans="1:25" x14ac:dyDescent="0.3">
      <c r="A37" s="9" t="s">
        <v>131</v>
      </c>
      <c r="B37" s="6">
        <v>2022</v>
      </c>
      <c r="C37" s="10">
        <v>36</v>
      </c>
      <c r="D37" s="6" t="s">
        <v>189</v>
      </c>
      <c r="E37" s="6" t="s">
        <v>64</v>
      </c>
      <c r="F37" s="6" t="s">
        <v>190</v>
      </c>
      <c r="G37" s="11" t="s">
        <v>134</v>
      </c>
      <c r="H37" s="6" t="s">
        <v>135</v>
      </c>
      <c r="I37" s="6" t="s">
        <v>135</v>
      </c>
      <c r="J37" s="6" t="s">
        <v>134</v>
      </c>
      <c r="K37" s="12">
        <v>100</v>
      </c>
      <c r="L37" s="12">
        <v>13</v>
      </c>
      <c r="M37" s="10">
        <v>60</v>
      </c>
      <c r="N37" s="12">
        <v>0</v>
      </c>
      <c r="O37" s="12">
        <v>0</v>
      </c>
      <c r="P37" s="10">
        <v>0</v>
      </c>
      <c r="Q37" s="12">
        <v>0</v>
      </c>
      <c r="R37" s="12">
        <v>0</v>
      </c>
      <c r="S37" s="10">
        <v>0</v>
      </c>
      <c r="T37" s="12">
        <v>0</v>
      </c>
      <c r="U37" s="12">
        <v>0</v>
      </c>
      <c r="V37" s="10">
        <v>0</v>
      </c>
      <c r="W37" s="12">
        <v>0</v>
      </c>
      <c r="X37" s="12">
        <v>0</v>
      </c>
      <c r="Y37" s="10">
        <v>0</v>
      </c>
    </row>
    <row r="38" spans="1:25" x14ac:dyDescent="0.3">
      <c r="A38" s="9" t="s">
        <v>131</v>
      </c>
      <c r="B38" s="6">
        <v>2022</v>
      </c>
      <c r="C38" s="10">
        <v>37</v>
      </c>
      <c r="D38" s="6" t="s">
        <v>191</v>
      </c>
      <c r="E38" s="6" t="s">
        <v>64</v>
      </c>
      <c r="F38" s="6" t="s">
        <v>192</v>
      </c>
      <c r="G38" s="11" t="s">
        <v>134</v>
      </c>
      <c r="H38" s="6" t="s">
        <v>135</v>
      </c>
      <c r="I38" s="6" t="s">
        <v>135</v>
      </c>
      <c r="J38" s="6" t="s">
        <v>134</v>
      </c>
      <c r="K38" s="12">
        <v>0</v>
      </c>
      <c r="L38" s="12">
        <v>0</v>
      </c>
      <c r="M38" s="10">
        <v>0</v>
      </c>
      <c r="N38" s="12">
        <v>0</v>
      </c>
      <c r="O38" s="12">
        <v>0</v>
      </c>
      <c r="P38" s="10">
        <v>0</v>
      </c>
      <c r="Q38" s="12">
        <v>0</v>
      </c>
      <c r="R38" s="12">
        <v>0</v>
      </c>
      <c r="S38" s="10">
        <v>0</v>
      </c>
      <c r="T38" s="12">
        <v>0</v>
      </c>
      <c r="U38" s="12">
        <v>0</v>
      </c>
      <c r="V38" s="10">
        <v>0</v>
      </c>
      <c r="W38" s="12">
        <v>0</v>
      </c>
      <c r="X38" s="12">
        <v>0</v>
      </c>
      <c r="Y38" s="10">
        <v>0</v>
      </c>
    </row>
    <row r="39" spans="1:25" x14ac:dyDescent="0.3">
      <c r="A39" s="9" t="s">
        <v>131</v>
      </c>
      <c r="B39" s="6">
        <v>2022</v>
      </c>
      <c r="C39" s="10">
        <v>38</v>
      </c>
      <c r="D39" s="6" t="s">
        <v>193</v>
      </c>
      <c r="E39" s="6" t="s">
        <v>64</v>
      </c>
      <c r="F39" s="6" t="s">
        <v>194</v>
      </c>
      <c r="G39" s="11" t="s">
        <v>134</v>
      </c>
      <c r="H39" s="6" t="s">
        <v>135</v>
      </c>
      <c r="I39" s="6" t="s">
        <v>135</v>
      </c>
      <c r="J39" s="6" t="s">
        <v>134</v>
      </c>
      <c r="K39" s="12">
        <v>0</v>
      </c>
      <c r="L39" s="12">
        <v>0</v>
      </c>
      <c r="M39" s="10">
        <v>0</v>
      </c>
      <c r="N39" s="12">
        <v>0</v>
      </c>
      <c r="O39" s="12">
        <v>0</v>
      </c>
      <c r="P39" s="10">
        <v>0</v>
      </c>
      <c r="Q39" s="12">
        <v>0</v>
      </c>
      <c r="R39" s="12">
        <v>0</v>
      </c>
      <c r="S39" s="10">
        <v>0</v>
      </c>
      <c r="T39" s="12">
        <v>0</v>
      </c>
      <c r="U39" s="12">
        <v>0</v>
      </c>
      <c r="V39" s="10">
        <v>0</v>
      </c>
      <c r="W39" s="12">
        <v>0</v>
      </c>
      <c r="X39" s="12">
        <v>0</v>
      </c>
      <c r="Y39" s="10">
        <v>0</v>
      </c>
    </row>
    <row r="40" spans="1:25" x14ac:dyDescent="0.3">
      <c r="A40" s="9" t="s">
        <v>131</v>
      </c>
      <c r="B40" s="6">
        <v>2022</v>
      </c>
      <c r="C40" s="10">
        <v>39</v>
      </c>
      <c r="D40" s="6" t="s">
        <v>195</v>
      </c>
      <c r="E40" s="6" t="s">
        <v>64</v>
      </c>
      <c r="F40" s="6" t="s">
        <v>196</v>
      </c>
      <c r="G40" s="11" t="s">
        <v>134</v>
      </c>
      <c r="H40" s="6" t="s">
        <v>135</v>
      </c>
      <c r="I40" s="6" t="s">
        <v>135</v>
      </c>
      <c r="J40" s="6" t="s">
        <v>134</v>
      </c>
      <c r="K40" s="12">
        <v>100</v>
      </c>
      <c r="L40" s="12">
        <v>13</v>
      </c>
      <c r="M40" s="10">
        <v>60</v>
      </c>
      <c r="N40" s="12">
        <v>0</v>
      </c>
      <c r="O40" s="12">
        <v>0</v>
      </c>
      <c r="P40" s="10">
        <v>0</v>
      </c>
      <c r="Q40" s="12">
        <v>0</v>
      </c>
      <c r="R40" s="12">
        <v>0</v>
      </c>
      <c r="S40" s="10">
        <v>0</v>
      </c>
      <c r="T40" s="12">
        <v>0</v>
      </c>
      <c r="U40" s="12">
        <v>0</v>
      </c>
      <c r="V40" s="10">
        <v>0</v>
      </c>
      <c r="W40" s="12">
        <v>0</v>
      </c>
      <c r="X40" s="12">
        <v>0</v>
      </c>
      <c r="Y40" s="10">
        <v>0</v>
      </c>
    </row>
    <row r="41" spans="1:25" x14ac:dyDescent="0.3">
      <c r="A41" s="9" t="s">
        <v>131</v>
      </c>
      <c r="B41" s="6">
        <v>2022</v>
      </c>
      <c r="C41" s="10">
        <v>40</v>
      </c>
      <c r="D41" s="6" t="s">
        <v>197</v>
      </c>
      <c r="E41" s="6" t="s">
        <v>64</v>
      </c>
      <c r="F41" s="6" t="s">
        <v>198</v>
      </c>
      <c r="G41" s="11" t="s">
        <v>134</v>
      </c>
      <c r="H41" s="6" t="s">
        <v>135</v>
      </c>
      <c r="I41" s="6" t="s">
        <v>135</v>
      </c>
      <c r="J41" s="6" t="s">
        <v>134</v>
      </c>
      <c r="K41" s="12">
        <v>100</v>
      </c>
      <c r="L41" s="12">
        <v>13</v>
      </c>
      <c r="M41" s="10">
        <v>60</v>
      </c>
      <c r="N41" s="12">
        <v>0</v>
      </c>
      <c r="O41" s="12">
        <v>0</v>
      </c>
      <c r="P41" s="10">
        <v>0</v>
      </c>
      <c r="Q41" s="12">
        <v>0</v>
      </c>
      <c r="R41" s="12">
        <v>0</v>
      </c>
      <c r="S41" s="10">
        <v>0</v>
      </c>
      <c r="T41" s="12">
        <v>0</v>
      </c>
      <c r="U41" s="12">
        <v>0</v>
      </c>
      <c r="V41" s="10">
        <v>0</v>
      </c>
      <c r="W41" s="12">
        <v>0</v>
      </c>
      <c r="X41" s="12">
        <v>0</v>
      </c>
      <c r="Y41" s="10">
        <v>0</v>
      </c>
    </row>
    <row r="42" spans="1:25" x14ac:dyDescent="0.3">
      <c r="A42" s="9" t="s">
        <v>131</v>
      </c>
      <c r="B42" s="6">
        <v>2022</v>
      </c>
      <c r="C42" s="10">
        <v>41</v>
      </c>
      <c r="D42" s="6" t="s">
        <v>199</v>
      </c>
      <c r="E42" s="6" t="s">
        <v>64</v>
      </c>
      <c r="F42" s="6" t="s">
        <v>200</v>
      </c>
      <c r="G42" s="11" t="s">
        <v>134</v>
      </c>
      <c r="H42" s="6" t="s">
        <v>135</v>
      </c>
      <c r="I42" s="6" t="s">
        <v>135</v>
      </c>
      <c r="J42" s="6" t="s">
        <v>134</v>
      </c>
      <c r="K42" s="12">
        <v>100</v>
      </c>
      <c r="L42" s="12">
        <v>13</v>
      </c>
      <c r="M42" s="10">
        <v>60</v>
      </c>
      <c r="N42" s="12">
        <v>0</v>
      </c>
      <c r="O42" s="12">
        <v>0</v>
      </c>
      <c r="P42" s="10">
        <v>0</v>
      </c>
      <c r="Q42" s="12">
        <v>0</v>
      </c>
      <c r="R42" s="12">
        <v>0</v>
      </c>
      <c r="S42" s="10">
        <v>0</v>
      </c>
      <c r="T42" s="12">
        <v>0</v>
      </c>
      <c r="U42" s="12">
        <v>0</v>
      </c>
      <c r="V42" s="10">
        <v>0</v>
      </c>
      <c r="W42" s="12">
        <v>0</v>
      </c>
      <c r="X42" s="12">
        <v>0</v>
      </c>
      <c r="Y42" s="10">
        <v>0</v>
      </c>
    </row>
    <row r="43" spans="1:25" x14ac:dyDescent="0.3">
      <c r="A43" s="9" t="s">
        <v>131</v>
      </c>
      <c r="B43" s="6">
        <v>2022</v>
      </c>
      <c r="C43" s="10">
        <v>42</v>
      </c>
      <c r="D43" s="6" t="s">
        <v>201</v>
      </c>
      <c r="E43" s="6" t="s">
        <v>64</v>
      </c>
      <c r="F43" s="6" t="s">
        <v>202</v>
      </c>
      <c r="G43" s="11" t="s">
        <v>134</v>
      </c>
      <c r="H43" s="6" t="s">
        <v>135</v>
      </c>
      <c r="I43" s="6" t="s">
        <v>135</v>
      </c>
      <c r="J43" s="6" t="s">
        <v>134</v>
      </c>
      <c r="K43" s="12">
        <v>100</v>
      </c>
      <c r="L43" s="12">
        <v>13</v>
      </c>
      <c r="M43" s="10">
        <v>60</v>
      </c>
      <c r="N43" s="12">
        <v>0</v>
      </c>
      <c r="O43" s="12">
        <v>0</v>
      </c>
      <c r="P43" s="10">
        <v>0</v>
      </c>
      <c r="Q43" s="12">
        <v>0</v>
      </c>
      <c r="R43" s="12">
        <v>0</v>
      </c>
      <c r="S43" s="10">
        <v>0</v>
      </c>
      <c r="T43" s="12">
        <v>0</v>
      </c>
      <c r="U43" s="12">
        <v>0</v>
      </c>
      <c r="V43" s="10">
        <v>0</v>
      </c>
      <c r="W43" s="12">
        <v>0</v>
      </c>
      <c r="X43" s="12">
        <v>0</v>
      </c>
      <c r="Y43" s="10">
        <v>0</v>
      </c>
    </row>
    <row r="44" spans="1:25" x14ac:dyDescent="0.3">
      <c r="A44" s="9" t="s">
        <v>131</v>
      </c>
      <c r="B44" s="6">
        <v>2022</v>
      </c>
      <c r="C44" s="10">
        <v>43</v>
      </c>
      <c r="D44" s="6" t="s">
        <v>203</v>
      </c>
      <c r="E44" s="6" t="s">
        <v>64</v>
      </c>
      <c r="F44" s="6" t="s">
        <v>204</v>
      </c>
      <c r="G44" s="11" t="s">
        <v>134</v>
      </c>
      <c r="H44" s="6" t="s">
        <v>135</v>
      </c>
      <c r="I44" s="6" t="s">
        <v>135</v>
      </c>
      <c r="J44" s="6" t="s">
        <v>134</v>
      </c>
      <c r="K44" s="12">
        <v>100</v>
      </c>
      <c r="L44" s="12">
        <v>13</v>
      </c>
      <c r="M44" s="10">
        <v>60</v>
      </c>
      <c r="N44" s="12">
        <v>0</v>
      </c>
      <c r="O44" s="12">
        <v>0</v>
      </c>
      <c r="P44" s="10">
        <v>0</v>
      </c>
      <c r="Q44" s="12">
        <v>0</v>
      </c>
      <c r="R44" s="12">
        <v>0</v>
      </c>
      <c r="S44" s="10">
        <v>0</v>
      </c>
      <c r="T44" s="12">
        <v>0</v>
      </c>
      <c r="U44" s="12">
        <v>0</v>
      </c>
      <c r="V44" s="10">
        <v>0</v>
      </c>
      <c r="W44" s="12">
        <v>0</v>
      </c>
      <c r="X44" s="12">
        <v>0</v>
      </c>
      <c r="Y44" s="10">
        <v>0</v>
      </c>
    </row>
    <row r="45" spans="1:25" x14ac:dyDescent="0.3">
      <c r="A45" s="9" t="s">
        <v>131</v>
      </c>
      <c r="B45" s="6">
        <v>2022</v>
      </c>
      <c r="C45" s="10">
        <v>44</v>
      </c>
      <c r="D45" s="6" t="s">
        <v>205</v>
      </c>
      <c r="E45" s="6" t="s">
        <v>64</v>
      </c>
      <c r="F45" s="6" t="s">
        <v>206</v>
      </c>
      <c r="G45" s="11" t="s">
        <v>134</v>
      </c>
      <c r="H45" s="6" t="s">
        <v>135</v>
      </c>
      <c r="I45" s="6" t="s">
        <v>135</v>
      </c>
      <c r="J45" s="6" t="s">
        <v>134</v>
      </c>
      <c r="K45" s="12">
        <v>100</v>
      </c>
      <c r="L45" s="12">
        <v>13</v>
      </c>
      <c r="M45" s="10">
        <v>60</v>
      </c>
      <c r="N45" s="12">
        <v>0</v>
      </c>
      <c r="O45" s="12">
        <v>0</v>
      </c>
      <c r="P45" s="10">
        <v>0</v>
      </c>
      <c r="Q45" s="12">
        <v>0</v>
      </c>
      <c r="R45" s="12">
        <v>0</v>
      </c>
      <c r="S45" s="10">
        <v>0</v>
      </c>
      <c r="T45" s="12">
        <v>0</v>
      </c>
      <c r="U45" s="12">
        <v>0</v>
      </c>
      <c r="V45" s="10">
        <v>0</v>
      </c>
      <c r="W45" s="12">
        <v>0</v>
      </c>
      <c r="X45" s="12">
        <v>0</v>
      </c>
      <c r="Y45" s="10">
        <v>0</v>
      </c>
    </row>
    <row r="46" spans="1:25" x14ac:dyDescent="0.3">
      <c r="A46" s="9" t="s">
        <v>131</v>
      </c>
      <c r="B46" s="6">
        <v>2022</v>
      </c>
      <c r="C46" s="10">
        <v>45</v>
      </c>
      <c r="D46" s="6" t="s">
        <v>207</v>
      </c>
      <c r="E46" s="6" t="s">
        <v>64</v>
      </c>
      <c r="F46" s="6" t="s">
        <v>208</v>
      </c>
      <c r="G46" s="11" t="s">
        <v>134</v>
      </c>
      <c r="H46" s="6" t="s">
        <v>135</v>
      </c>
      <c r="I46" s="6" t="s">
        <v>135</v>
      </c>
      <c r="J46" s="6" t="s">
        <v>134</v>
      </c>
      <c r="K46" s="12">
        <v>100</v>
      </c>
      <c r="L46" s="12">
        <v>13</v>
      </c>
      <c r="M46" s="10">
        <v>60</v>
      </c>
      <c r="N46" s="12">
        <v>0</v>
      </c>
      <c r="O46" s="12">
        <v>0</v>
      </c>
      <c r="P46" s="10">
        <v>0</v>
      </c>
      <c r="Q46" s="12">
        <v>0</v>
      </c>
      <c r="R46" s="12">
        <v>0</v>
      </c>
      <c r="S46" s="10">
        <v>0</v>
      </c>
      <c r="T46" s="12">
        <v>0</v>
      </c>
      <c r="U46" s="12">
        <v>0</v>
      </c>
      <c r="V46" s="10">
        <v>0</v>
      </c>
      <c r="W46" s="12">
        <v>0</v>
      </c>
      <c r="X46" s="12">
        <v>0</v>
      </c>
      <c r="Y46" s="10">
        <v>0</v>
      </c>
    </row>
    <row r="47" spans="1:25" x14ac:dyDescent="0.3">
      <c r="A47" s="9" t="s">
        <v>131</v>
      </c>
      <c r="B47" s="6">
        <v>2022</v>
      </c>
      <c r="C47" s="10">
        <v>46</v>
      </c>
      <c r="D47" s="6" t="s">
        <v>209</v>
      </c>
      <c r="E47" s="6" t="s">
        <v>64</v>
      </c>
      <c r="F47" s="6" t="s">
        <v>134</v>
      </c>
      <c r="G47" s="13" t="s">
        <v>210</v>
      </c>
      <c r="H47" s="6" t="s">
        <v>135</v>
      </c>
      <c r="I47" s="6" t="s">
        <v>135</v>
      </c>
      <c r="J47" s="6" t="s">
        <v>134</v>
      </c>
      <c r="K47" s="12">
        <v>0</v>
      </c>
      <c r="L47" s="12">
        <v>0</v>
      </c>
      <c r="M47" s="10">
        <v>0</v>
      </c>
      <c r="N47" s="12">
        <v>0</v>
      </c>
      <c r="O47" s="12">
        <v>0</v>
      </c>
      <c r="P47" s="10">
        <v>0</v>
      </c>
      <c r="Q47" s="12">
        <v>0</v>
      </c>
      <c r="R47" s="12">
        <v>0</v>
      </c>
      <c r="S47" s="10">
        <v>0</v>
      </c>
      <c r="T47" s="12">
        <v>0</v>
      </c>
      <c r="U47" s="12">
        <v>0</v>
      </c>
      <c r="V47" s="10">
        <v>0</v>
      </c>
      <c r="W47" s="12">
        <v>0</v>
      </c>
      <c r="X47" s="12">
        <v>0</v>
      </c>
      <c r="Y47" s="10">
        <v>0</v>
      </c>
    </row>
    <row r="48" spans="1:25" x14ac:dyDescent="0.3">
      <c r="A48" s="9" t="s">
        <v>131</v>
      </c>
      <c r="B48" s="6">
        <v>2022</v>
      </c>
      <c r="C48" s="10">
        <v>47</v>
      </c>
      <c r="D48" s="6" t="s">
        <v>211</v>
      </c>
      <c r="E48" s="6" t="s">
        <v>64</v>
      </c>
      <c r="F48" s="6" t="s">
        <v>212</v>
      </c>
      <c r="G48" s="11" t="s">
        <v>134</v>
      </c>
      <c r="H48" s="6" t="s">
        <v>135</v>
      </c>
      <c r="I48" s="6" t="s">
        <v>135</v>
      </c>
      <c r="J48" s="6" t="s">
        <v>134</v>
      </c>
      <c r="K48" s="12">
        <v>90</v>
      </c>
      <c r="L48" s="12">
        <v>13</v>
      </c>
      <c r="M48" s="10">
        <v>60</v>
      </c>
      <c r="N48" s="12">
        <v>0</v>
      </c>
      <c r="O48" s="12">
        <v>0</v>
      </c>
      <c r="P48" s="10">
        <v>0</v>
      </c>
      <c r="Q48" s="12">
        <v>0</v>
      </c>
      <c r="R48" s="12">
        <v>0</v>
      </c>
      <c r="S48" s="10">
        <v>0</v>
      </c>
      <c r="T48" s="12">
        <v>0</v>
      </c>
      <c r="U48" s="12">
        <v>0</v>
      </c>
      <c r="V48" s="10">
        <v>0</v>
      </c>
      <c r="W48" s="12">
        <v>0</v>
      </c>
      <c r="X48" s="12">
        <v>0</v>
      </c>
      <c r="Y48" s="10">
        <v>0</v>
      </c>
    </row>
    <row r="49" spans="1:25" x14ac:dyDescent="0.3">
      <c r="A49" s="9" t="s">
        <v>131</v>
      </c>
      <c r="B49" s="6">
        <v>2022</v>
      </c>
      <c r="C49" s="10">
        <v>48</v>
      </c>
      <c r="D49" s="6" t="s">
        <v>213</v>
      </c>
      <c r="E49" s="6" t="s">
        <v>64</v>
      </c>
      <c r="F49" s="6" t="s">
        <v>214</v>
      </c>
      <c r="G49" s="11" t="s">
        <v>134</v>
      </c>
      <c r="H49" s="6" t="s">
        <v>135</v>
      </c>
      <c r="I49" s="6" t="s">
        <v>135</v>
      </c>
      <c r="J49" s="6" t="s">
        <v>134</v>
      </c>
      <c r="K49" s="12">
        <v>100</v>
      </c>
      <c r="L49" s="12">
        <v>13</v>
      </c>
      <c r="M49" s="10">
        <v>60</v>
      </c>
      <c r="N49" s="12">
        <v>0</v>
      </c>
      <c r="O49" s="12">
        <v>0</v>
      </c>
      <c r="P49" s="10">
        <v>0</v>
      </c>
      <c r="Q49" s="12">
        <v>0</v>
      </c>
      <c r="R49" s="12">
        <v>0</v>
      </c>
      <c r="S49" s="10">
        <v>0</v>
      </c>
      <c r="T49" s="12">
        <v>0</v>
      </c>
      <c r="U49" s="12">
        <v>0</v>
      </c>
      <c r="V49" s="10">
        <v>0</v>
      </c>
      <c r="W49" s="12">
        <v>0</v>
      </c>
      <c r="X49" s="12">
        <v>0</v>
      </c>
      <c r="Y49" s="10">
        <v>0</v>
      </c>
    </row>
    <row r="50" spans="1:25" x14ac:dyDescent="0.3">
      <c r="A50" s="9" t="s">
        <v>131</v>
      </c>
      <c r="B50" s="6">
        <v>2022</v>
      </c>
      <c r="C50" s="10">
        <v>49</v>
      </c>
      <c r="D50" s="6" t="s">
        <v>215</v>
      </c>
      <c r="E50" s="6" t="s">
        <v>64</v>
      </c>
      <c r="F50" s="6" t="s">
        <v>216</v>
      </c>
      <c r="G50" s="11" t="s">
        <v>134</v>
      </c>
      <c r="H50" s="6" t="s">
        <v>135</v>
      </c>
      <c r="I50" s="6" t="s">
        <v>135</v>
      </c>
      <c r="J50" s="6" t="s">
        <v>134</v>
      </c>
      <c r="K50" s="12">
        <v>100</v>
      </c>
      <c r="L50" s="12">
        <v>13</v>
      </c>
      <c r="M50" s="10">
        <v>60</v>
      </c>
      <c r="N50" s="12">
        <v>0</v>
      </c>
      <c r="O50" s="12">
        <v>0</v>
      </c>
      <c r="P50" s="10">
        <v>0</v>
      </c>
      <c r="Q50" s="12">
        <v>0</v>
      </c>
      <c r="R50" s="12">
        <v>0</v>
      </c>
      <c r="S50" s="10">
        <v>0</v>
      </c>
      <c r="T50" s="12">
        <v>0</v>
      </c>
      <c r="U50" s="12">
        <v>0</v>
      </c>
      <c r="V50" s="10">
        <v>0</v>
      </c>
      <c r="W50" s="12">
        <v>0</v>
      </c>
      <c r="X50" s="12">
        <v>0</v>
      </c>
      <c r="Y50" s="10">
        <v>0</v>
      </c>
    </row>
    <row r="51" spans="1:25" x14ac:dyDescent="0.3">
      <c r="A51" s="9" t="s">
        <v>131</v>
      </c>
      <c r="B51" s="6">
        <v>2022</v>
      </c>
      <c r="C51" s="10">
        <v>50</v>
      </c>
      <c r="D51" s="6" t="s">
        <v>217</v>
      </c>
      <c r="E51" s="6" t="s">
        <v>64</v>
      </c>
      <c r="F51" s="6" t="s">
        <v>218</v>
      </c>
      <c r="G51" s="11" t="s">
        <v>134</v>
      </c>
      <c r="H51" s="6" t="s">
        <v>135</v>
      </c>
      <c r="I51" s="6" t="s">
        <v>135</v>
      </c>
      <c r="J51" s="6" t="s">
        <v>134</v>
      </c>
      <c r="K51" s="12">
        <v>100</v>
      </c>
      <c r="L51" s="12">
        <v>13</v>
      </c>
      <c r="M51" s="10">
        <v>60</v>
      </c>
      <c r="N51" s="12">
        <v>0</v>
      </c>
      <c r="O51" s="12">
        <v>0</v>
      </c>
      <c r="P51" s="10">
        <v>0</v>
      </c>
      <c r="Q51" s="12">
        <v>0</v>
      </c>
      <c r="R51" s="12">
        <v>0</v>
      </c>
      <c r="S51" s="10">
        <v>0</v>
      </c>
      <c r="T51" s="12">
        <v>0</v>
      </c>
      <c r="U51" s="12">
        <v>0</v>
      </c>
      <c r="V51" s="10">
        <v>0</v>
      </c>
      <c r="W51" s="12">
        <v>0</v>
      </c>
      <c r="X51" s="12">
        <v>0</v>
      </c>
      <c r="Y51" s="10">
        <v>0</v>
      </c>
    </row>
    <row r="52" spans="1:25" x14ac:dyDescent="0.3">
      <c r="A52" s="9" t="s">
        <v>131</v>
      </c>
      <c r="B52" s="6">
        <v>2022</v>
      </c>
      <c r="C52" s="10">
        <v>51</v>
      </c>
      <c r="D52" s="6" t="s">
        <v>219</v>
      </c>
      <c r="E52" s="6" t="s">
        <v>64</v>
      </c>
      <c r="F52" s="6" t="s">
        <v>134</v>
      </c>
      <c r="G52" s="13" t="s">
        <v>220</v>
      </c>
      <c r="H52" s="6" t="s">
        <v>135</v>
      </c>
      <c r="I52" s="6" t="s">
        <v>135</v>
      </c>
      <c r="J52" s="6" t="s">
        <v>134</v>
      </c>
      <c r="K52" s="12">
        <v>0</v>
      </c>
      <c r="L52" s="12">
        <v>0</v>
      </c>
      <c r="M52" s="10">
        <v>0</v>
      </c>
      <c r="N52" s="12">
        <v>0</v>
      </c>
      <c r="O52" s="12">
        <v>0</v>
      </c>
      <c r="P52" s="10">
        <v>0</v>
      </c>
      <c r="Q52" s="12">
        <v>0</v>
      </c>
      <c r="R52" s="12">
        <v>0</v>
      </c>
      <c r="S52" s="10">
        <v>0</v>
      </c>
      <c r="T52" s="12">
        <v>0</v>
      </c>
      <c r="U52" s="12">
        <v>0</v>
      </c>
      <c r="V52" s="10">
        <v>0</v>
      </c>
      <c r="W52" s="12">
        <v>0</v>
      </c>
      <c r="X52" s="12">
        <v>0</v>
      </c>
      <c r="Y52" s="10">
        <v>0</v>
      </c>
    </row>
    <row r="53" spans="1:25" x14ac:dyDescent="0.3">
      <c r="A53" s="9" t="s">
        <v>131</v>
      </c>
      <c r="B53" s="6">
        <v>2022</v>
      </c>
      <c r="C53" s="10">
        <v>52</v>
      </c>
      <c r="D53" s="6" t="s">
        <v>221</v>
      </c>
      <c r="E53" s="6" t="s">
        <v>64</v>
      </c>
      <c r="F53" s="6" t="s">
        <v>222</v>
      </c>
      <c r="G53" s="11" t="s">
        <v>134</v>
      </c>
      <c r="H53" s="6" t="s">
        <v>135</v>
      </c>
      <c r="I53" s="6" t="s">
        <v>135</v>
      </c>
      <c r="J53" s="6" t="s">
        <v>134</v>
      </c>
      <c r="K53" s="12">
        <v>100</v>
      </c>
      <c r="L53" s="12">
        <v>13</v>
      </c>
      <c r="M53" s="10">
        <v>60</v>
      </c>
      <c r="N53" s="12">
        <v>0</v>
      </c>
      <c r="O53" s="12">
        <v>0</v>
      </c>
      <c r="P53" s="10">
        <v>0</v>
      </c>
      <c r="Q53" s="12">
        <v>0</v>
      </c>
      <c r="R53" s="12">
        <v>0</v>
      </c>
      <c r="S53" s="10">
        <v>0</v>
      </c>
      <c r="T53" s="12">
        <v>0</v>
      </c>
      <c r="U53" s="12">
        <v>0</v>
      </c>
      <c r="V53" s="10">
        <v>0</v>
      </c>
      <c r="W53" s="12">
        <v>0</v>
      </c>
      <c r="X53" s="12">
        <v>0</v>
      </c>
      <c r="Y53" s="10">
        <v>0</v>
      </c>
    </row>
    <row r="54" spans="1:25" x14ac:dyDescent="0.3">
      <c r="A54" s="9" t="s">
        <v>131</v>
      </c>
      <c r="B54" s="6">
        <v>2022</v>
      </c>
      <c r="C54" s="10">
        <v>53</v>
      </c>
      <c r="D54" s="6" t="s">
        <v>223</v>
      </c>
      <c r="E54" s="6" t="s">
        <v>64</v>
      </c>
      <c r="F54" s="6" t="s">
        <v>224</v>
      </c>
      <c r="G54" s="11" t="s">
        <v>134</v>
      </c>
      <c r="H54" s="6" t="s">
        <v>135</v>
      </c>
      <c r="I54" s="6" t="s">
        <v>135</v>
      </c>
      <c r="J54" s="6" t="s">
        <v>134</v>
      </c>
      <c r="K54" s="12">
        <v>100</v>
      </c>
      <c r="L54" s="12">
        <v>13</v>
      </c>
      <c r="M54" s="10">
        <v>60</v>
      </c>
      <c r="N54" s="12">
        <v>0</v>
      </c>
      <c r="O54" s="12">
        <v>0</v>
      </c>
      <c r="P54" s="10">
        <v>0</v>
      </c>
      <c r="Q54" s="12">
        <v>0</v>
      </c>
      <c r="R54" s="12">
        <v>0</v>
      </c>
      <c r="S54" s="10">
        <v>0</v>
      </c>
      <c r="T54" s="12">
        <v>0</v>
      </c>
      <c r="U54" s="12">
        <v>0</v>
      </c>
      <c r="V54" s="10">
        <v>0</v>
      </c>
      <c r="W54" s="12">
        <v>0</v>
      </c>
      <c r="X54" s="12">
        <v>0</v>
      </c>
      <c r="Y54" s="10">
        <v>0</v>
      </c>
    </row>
    <row r="55" spans="1:25" x14ac:dyDescent="0.3">
      <c r="A55" s="9" t="s">
        <v>131</v>
      </c>
      <c r="B55" s="6">
        <v>2022</v>
      </c>
      <c r="C55" s="10">
        <v>54</v>
      </c>
      <c r="D55" s="6" t="s">
        <v>225</v>
      </c>
      <c r="E55" s="6" t="s">
        <v>64</v>
      </c>
      <c r="F55" s="6" t="s">
        <v>226</v>
      </c>
      <c r="G55" s="11" t="s">
        <v>134</v>
      </c>
      <c r="H55" s="6" t="s">
        <v>135</v>
      </c>
      <c r="I55" s="6" t="s">
        <v>135</v>
      </c>
      <c r="J55" s="6" t="s">
        <v>134</v>
      </c>
      <c r="K55" s="12">
        <v>100</v>
      </c>
      <c r="L55" s="12">
        <v>13</v>
      </c>
      <c r="M55" s="10">
        <v>60</v>
      </c>
      <c r="N55" s="12">
        <v>0</v>
      </c>
      <c r="O55" s="12">
        <v>0</v>
      </c>
      <c r="P55" s="10">
        <v>0</v>
      </c>
      <c r="Q55" s="12">
        <v>0</v>
      </c>
      <c r="R55" s="12">
        <v>0</v>
      </c>
      <c r="S55" s="10">
        <v>0</v>
      </c>
      <c r="T55" s="12">
        <v>0</v>
      </c>
      <c r="U55" s="12">
        <v>0</v>
      </c>
      <c r="V55" s="10">
        <v>0</v>
      </c>
      <c r="W55" s="12">
        <v>0</v>
      </c>
      <c r="X55" s="12">
        <v>0</v>
      </c>
      <c r="Y55" s="10">
        <v>0</v>
      </c>
    </row>
    <row r="56" spans="1:25" x14ac:dyDescent="0.3">
      <c r="A56" s="9" t="s">
        <v>131</v>
      </c>
      <c r="B56" s="6">
        <v>2022</v>
      </c>
      <c r="C56" s="10">
        <v>55</v>
      </c>
      <c r="D56" s="6" t="s">
        <v>227</v>
      </c>
      <c r="E56" s="6" t="s">
        <v>64</v>
      </c>
      <c r="F56" s="6" t="s">
        <v>226</v>
      </c>
      <c r="G56" s="11" t="s">
        <v>134</v>
      </c>
      <c r="H56" s="6" t="s">
        <v>135</v>
      </c>
      <c r="I56" s="6" t="s">
        <v>135</v>
      </c>
      <c r="J56" s="6" t="s">
        <v>134</v>
      </c>
      <c r="K56" s="12">
        <v>100</v>
      </c>
      <c r="L56" s="12">
        <v>13</v>
      </c>
      <c r="M56" s="10">
        <v>60</v>
      </c>
      <c r="N56" s="12">
        <v>0</v>
      </c>
      <c r="O56" s="12">
        <v>0</v>
      </c>
      <c r="P56" s="10">
        <v>0</v>
      </c>
      <c r="Q56" s="12">
        <v>0</v>
      </c>
      <c r="R56" s="12">
        <v>0</v>
      </c>
      <c r="S56" s="10">
        <v>0</v>
      </c>
      <c r="T56" s="12">
        <v>0</v>
      </c>
      <c r="U56" s="12">
        <v>0</v>
      </c>
      <c r="V56" s="10">
        <v>0</v>
      </c>
      <c r="W56" s="12">
        <v>0</v>
      </c>
      <c r="X56" s="12">
        <v>0</v>
      </c>
      <c r="Y56" s="10">
        <v>0</v>
      </c>
    </row>
    <row r="57" spans="1:25" x14ac:dyDescent="0.3">
      <c r="A57" s="9" t="s">
        <v>131</v>
      </c>
      <c r="B57" s="6">
        <v>2022</v>
      </c>
      <c r="C57" s="10">
        <v>56</v>
      </c>
      <c r="D57" s="6" t="s">
        <v>228</v>
      </c>
      <c r="E57" s="6" t="s">
        <v>64</v>
      </c>
      <c r="F57" s="6" t="s">
        <v>229</v>
      </c>
      <c r="G57" s="11" t="s">
        <v>134</v>
      </c>
      <c r="H57" s="6" t="s">
        <v>135</v>
      </c>
      <c r="I57" s="6" t="s">
        <v>135</v>
      </c>
      <c r="J57" s="6" t="s">
        <v>134</v>
      </c>
      <c r="K57" s="12">
        <v>100</v>
      </c>
      <c r="L57" s="12">
        <v>27</v>
      </c>
      <c r="M57" s="10">
        <v>141</v>
      </c>
      <c r="N57" s="12">
        <v>149.86000000000001</v>
      </c>
      <c r="O57" s="12">
        <v>15</v>
      </c>
      <c r="P57" s="10">
        <v>64</v>
      </c>
      <c r="Q57" s="12">
        <v>149.86000000000001</v>
      </c>
      <c r="R57" s="12">
        <v>13</v>
      </c>
      <c r="S57" s="10">
        <v>63</v>
      </c>
      <c r="T57" s="12">
        <v>0</v>
      </c>
      <c r="U57" s="12">
        <v>0</v>
      </c>
      <c r="V57" s="10">
        <v>0</v>
      </c>
      <c r="W57" s="12">
        <v>0</v>
      </c>
      <c r="X57" s="12">
        <v>0</v>
      </c>
      <c r="Y57" s="10">
        <v>0</v>
      </c>
    </row>
    <row r="58" spans="1:25" x14ac:dyDescent="0.3">
      <c r="A58" s="9" t="s">
        <v>131</v>
      </c>
      <c r="B58" s="6">
        <v>2022</v>
      </c>
      <c r="C58" s="10">
        <v>57</v>
      </c>
      <c r="D58" s="6" t="s">
        <v>230</v>
      </c>
      <c r="E58" s="6" t="s">
        <v>64</v>
      </c>
      <c r="F58" s="6" t="s">
        <v>134</v>
      </c>
      <c r="G58" s="13" t="s">
        <v>231</v>
      </c>
      <c r="H58" s="6" t="s">
        <v>135</v>
      </c>
      <c r="I58" s="6" t="s">
        <v>135</v>
      </c>
      <c r="J58" s="6" t="s">
        <v>134</v>
      </c>
      <c r="K58" s="12">
        <v>0</v>
      </c>
      <c r="L58" s="12">
        <v>0</v>
      </c>
      <c r="M58" s="10">
        <v>0</v>
      </c>
      <c r="N58" s="12">
        <v>0</v>
      </c>
      <c r="O58" s="12">
        <v>0</v>
      </c>
      <c r="P58" s="10">
        <v>0</v>
      </c>
      <c r="Q58" s="12">
        <v>0</v>
      </c>
      <c r="R58" s="12">
        <v>0</v>
      </c>
      <c r="S58" s="10">
        <v>0</v>
      </c>
      <c r="T58" s="12">
        <v>0</v>
      </c>
      <c r="U58" s="12">
        <v>0</v>
      </c>
      <c r="V58" s="10">
        <v>0</v>
      </c>
      <c r="W58" s="12">
        <v>0</v>
      </c>
      <c r="X58" s="12">
        <v>0</v>
      </c>
      <c r="Y58" s="10">
        <v>0</v>
      </c>
    </row>
    <row r="59" spans="1:25" x14ac:dyDescent="0.3">
      <c r="A59" s="9" t="s">
        <v>131</v>
      </c>
      <c r="B59" s="6">
        <v>2022</v>
      </c>
      <c r="C59" s="10">
        <v>58</v>
      </c>
      <c r="D59" s="6" t="s">
        <v>232</v>
      </c>
      <c r="E59" s="6" t="s">
        <v>64</v>
      </c>
      <c r="F59" s="6" t="s">
        <v>134</v>
      </c>
      <c r="G59" s="13" t="s">
        <v>233</v>
      </c>
      <c r="H59" s="6" t="s">
        <v>135</v>
      </c>
      <c r="I59" s="6" t="s">
        <v>135</v>
      </c>
      <c r="J59" s="6" t="s">
        <v>134</v>
      </c>
      <c r="K59" s="12">
        <v>0</v>
      </c>
      <c r="L59" s="12">
        <v>0</v>
      </c>
      <c r="M59" s="10">
        <v>0</v>
      </c>
      <c r="N59" s="12">
        <v>0</v>
      </c>
      <c r="O59" s="12">
        <v>0</v>
      </c>
      <c r="P59" s="10">
        <v>0</v>
      </c>
      <c r="Q59" s="12">
        <v>0</v>
      </c>
      <c r="R59" s="12">
        <v>0</v>
      </c>
      <c r="S59" s="10">
        <v>0</v>
      </c>
      <c r="T59" s="12">
        <v>0</v>
      </c>
      <c r="U59" s="12">
        <v>0</v>
      </c>
      <c r="V59" s="10">
        <v>0</v>
      </c>
      <c r="W59" s="12">
        <v>0</v>
      </c>
      <c r="X59" s="12">
        <v>0</v>
      </c>
      <c r="Y59" s="10">
        <v>0</v>
      </c>
    </row>
    <row r="60" spans="1:25" x14ac:dyDescent="0.3">
      <c r="A60" s="9" t="s">
        <v>131</v>
      </c>
      <c r="B60" s="6">
        <v>2022</v>
      </c>
      <c r="C60" s="10">
        <v>59</v>
      </c>
      <c r="D60" s="6" t="s">
        <v>234</v>
      </c>
      <c r="E60" s="6" t="s">
        <v>64</v>
      </c>
      <c r="G60" s="13" t="s">
        <v>235</v>
      </c>
      <c r="H60" s="6" t="s">
        <v>135</v>
      </c>
      <c r="I60" s="6" t="s">
        <v>135</v>
      </c>
      <c r="J60" s="6" t="s">
        <v>134</v>
      </c>
      <c r="K60" s="12">
        <v>0</v>
      </c>
      <c r="L60" s="12">
        <v>0</v>
      </c>
      <c r="M60" s="10">
        <v>0</v>
      </c>
      <c r="N60" s="12">
        <v>0</v>
      </c>
      <c r="O60" s="12">
        <v>0</v>
      </c>
      <c r="P60" s="10">
        <v>0</v>
      </c>
      <c r="Q60" s="12">
        <v>0</v>
      </c>
      <c r="R60" s="12">
        <v>0</v>
      </c>
      <c r="S60" s="10">
        <v>0</v>
      </c>
      <c r="T60" s="12">
        <v>0</v>
      </c>
      <c r="U60" s="12">
        <v>0</v>
      </c>
      <c r="V60" s="10">
        <v>0</v>
      </c>
      <c r="W60" s="12">
        <v>0</v>
      </c>
      <c r="X60" s="12">
        <v>0</v>
      </c>
      <c r="Y60" s="10">
        <v>0</v>
      </c>
    </row>
    <row r="61" spans="1:25" x14ac:dyDescent="0.3">
      <c r="A61" s="9" t="s">
        <v>131</v>
      </c>
      <c r="B61" s="6">
        <v>2022</v>
      </c>
      <c r="C61" s="10">
        <v>60</v>
      </c>
      <c r="D61" s="6" t="s">
        <v>3571</v>
      </c>
      <c r="E61" s="6" t="s">
        <v>64</v>
      </c>
      <c r="F61" s="6" t="s">
        <v>237</v>
      </c>
      <c r="G61" s="11" t="s">
        <v>134</v>
      </c>
      <c r="H61" s="6" t="s">
        <v>135</v>
      </c>
      <c r="I61" s="6" t="s">
        <v>135</v>
      </c>
      <c r="J61" s="6" t="s">
        <v>238</v>
      </c>
      <c r="K61" s="12">
        <v>0</v>
      </c>
      <c r="L61" s="12">
        <v>0</v>
      </c>
      <c r="M61" s="10">
        <v>0</v>
      </c>
      <c r="N61" s="12">
        <v>0</v>
      </c>
      <c r="O61" s="12">
        <v>0</v>
      </c>
      <c r="P61" s="10">
        <v>0</v>
      </c>
      <c r="Q61" s="12">
        <v>0</v>
      </c>
      <c r="R61" s="12">
        <v>0</v>
      </c>
      <c r="S61" s="10">
        <v>0</v>
      </c>
      <c r="T61" s="12">
        <v>0</v>
      </c>
      <c r="U61" s="12">
        <v>0</v>
      </c>
      <c r="V61" s="10">
        <v>0</v>
      </c>
      <c r="W61" s="12">
        <v>0</v>
      </c>
      <c r="X61" s="12">
        <v>0</v>
      </c>
      <c r="Y61" s="10">
        <v>0</v>
      </c>
    </row>
    <row r="62" spans="1:25" x14ac:dyDescent="0.3">
      <c r="A62" s="9" t="s">
        <v>131</v>
      </c>
      <c r="B62" s="6">
        <v>2022</v>
      </c>
      <c r="C62" s="10">
        <v>61</v>
      </c>
      <c r="D62" s="6" t="s">
        <v>3572</v>
      </c>
      <c r="E62" s="6" t="s">
        <v>64</v>
      </c>
      <c r="F62" s="6" t="s">
        <v>237</v>
      </c>
      <c r="G62" s="11" t="s">
        <v>134</v>
      </c>
      <c r="H62" s="6" t="s">
        <v>135</v>
      </c>
      <c r="I62" s="6" t="s">
        <v>135</v>
      </c>
      <c r="J62" s="6" t="s">
        <v>134</v>
      </c>
      <c r="K62" s="12">
        <v>0</v>
      </c>
      <c r="L62" s="12">
        <v>0</v>
      </c>
      <c r="M62" s="10">
        <v>0</v>
      </c>
      <c r="N62" s="12">
        <v>0</v>
      </c>
      <c r="O62" s="12">
        <v>0</v>
      </c>
      <c r="P62" s="10">
        <v>0</v>
      </c>
      <c r="Q62" s="12">
        <v>0</v>
      </c>
      <c r="R62" s="12">
        <v>0</v>
      </c>
      <c r="S62" s="10">
        <v>0</v>
      </c>
      <c r="T62" s="12">
        <v>0</v>
      </c>
      <c r="U62" s="12">
        <v>0</v>
      </c>
      <c r="V62" s="10">
        <v>0</v>
      </c>
      <c r="W62" s="12">
        <v>0</v>
      </c>
      <c r="X62" s="12">
        <v>0</v>
      </c>
      <c r="Y62" s="10">
        <v>0</v>
      </c>
    </row>
    <row r="63" spans="1:25" x14ac:dyDescent="0.3">
      <c r="A63" s="9" t="s">
        <v>131</v>
      </c>
      <c r="B63" s="6">
        <v>2022</v>
      </c>
      <c r="C63" s="10">
        <v>62</v>
      </c>
      <c r="D63" s="6" t="s">
        <v>3573</v>
      </c>
      <c r="E63" s="6" t="s">
        <v>64</v>
      </c>
      <c r="F63" s="6" t="s">
        <v>240</v>
      </c>
      <c r="G63" s="11" t="s">
        <v>134</v>
      </c>
      <c r="H63" s="6" t="s">
        <v>135</v>
      </c>
      <c r="I63" s="6" t="s">
        <v>135</v>
      </c>
      <c r="J63" s="6" t="s">
        <v>238</v>
      </c>
      <c r="K63" s="12">
        <v>0</v>
      </c>
      <c r="L63" s="12">
        <v>0</v>
      </c>
      <c r="M63" s="10">
        <v>0</v>
      </c>
      <c r="N63" s="12">
        <v>0</v>
      </c>
      <c r="O63" s="12">
        <v>0</v>
      </c>
      <c r="P63" s="10">
        <v>0</v>
      </c>
      <c r="Q63" s="12">
        <v>0</v>
      </c>
      <c r="R63" s="12">
        <v>0</v>
      </c>
      <c r="S63" s="10">
        <v>0</v>
      </c>
      <c r="T63" s="12">
        <v>0</v>
      </c>
      <c r="U63" s="12">
        <v>0</v>
      </c>
      <c r="V63" s="10">
        <v>0</v>
      </c>
      <c r="W63" s="12">
        <v>0</v>
      </c>
      <c r="X63" s="12">
        <v>0</v>
      </c>
      <c r="Y63" s="10">
        <v>0</v>
      </c>
    </row>
    <row r="64" spans="1:25" x14ac:dyDescent="0.3">
      <c r="A64" s="9" t="s">
        <v>131</v>
      </c>
      <c r="B64" s="6">
        <v>2022</v>
      </c>
      <c r="C64" s="10">
        <v>63</v>
      </c>
      <c r="D64" s="6" t="s">
        <v>3257</v>
      </c>
      <c r="E64" s="6" t="s">
        <v>64</v>
      </c>
      <c r="F64" s="6" t="s">
        <v>242</v>
      </c>
      <c r="G64" s="11" t="s">
        <v>134</v>
      </c>
      <c r="H64" s="6" t="s">
        <v>135</v>
      </c>
      <c r="I64" s="6" t="s">
        <v>135</v>
      </c>
      <c r="J64" s="6" t="s">
        <v>238</v>
      </c>
      <c r="K64" s="12">
        <v>0</v>
      </c>
      <c r="L64" s="12">
        <v>0</v>
      </c>
      <c r="M64" s="10">
        <v>0</v>
      </c>
      <c r="N64" s="12">
        <v>0</v>
      </c>
      <c r="O64" s="12">
        <v>0</v>
      </c>
      <c r="P64" s="10">
        <v>0</v>
      </c>
      <c r="Q64" s="12">
        <v>0</v>
      </c>
      <c r="R64" s="12">
        <v>0</v>
      </c>
      <c r="S64" s="10">
        <v>0</v>
      </c>
      <c r="T64" s="12">
        <v>0</v>
      </c>
      <c r="U64" s="12">
        <v>0</v>
      </c>
      <c r="V64" s="10">
        <v>0</v>
      </c>
      <c r="W64" s="12">
        <v>0</v>
      </c>
      <c r="X64" s="12">
        <v>0</v>
      </c>
      <c r="Y64" s="10">
        <v>0</v>
      </c>
    </row>
    <row r="65" spans="1:25" x14ac:dyDescent="0.3">
      <c r="A65" s="9" t="s">
        <v>131</v>
      </c>
      <c r="B65" s="6">
        <v>2022</v>
      </c>
      <c r="C65" s="10">
        <v>64</v>
      </c>
      <c r="D65" s="6" t="s">
        <v>243</v>
      </c>
      <c r="E65" s="6" t="s">
        <v>64</v>
      </c>
      <c r="F65" s="6" t="s">
        <v>244</v>
      </c>
      <c r="G65" s="11" t="s">
        <v>134</v>
      </c>
      <c r="H65" s="6" t="s">
        <v>135</v>
      </c>
      <c r="I65" s="6" t="s">
        <v>135</v>
      </c>
      <c r="J65" s="6" t="s">
        <v>238</v>
      </c>
      <c r="K65" s="12">
        <v>0</v>
      </c>
      <c r="L65" s="12">
        <v>0</v>
      </c>
      <c r="M65" s="10">
        <v>0</v>
      </c>
      <c r="N65" s="12">
        <v>0</v>
      </c>
      <c r="O65" s="12">
        <v>0</v>
      </c>
      <c r="P65" s="10">
        <v>0</v>
      </c>
      <c r="Q65" s="12">
        <v>0</v>
      </c>
      <c r="R65" s="12">
        <v>0</v>
      </c>
      <c r="S65" s="10">
        <v>0</v>
      </c>
      <c r="T65" s="12">
        <v>0</v>
      </c>
      <c r="U65" s="12">
        <v>0</v>
      </c>
      <c r="V65" s="10">
        <v>0</v>
      </c>
      <c r="W65" s="12">
        <v>0</v>
      </c>
      <c r="X65" s="12">
        <v>0</v>
      </c>
      <c r="Y65" s="10">
        <v>0</v>
      </c>
    </row>
    <row r="66" spans="1:25" x14ac:dyDescent="0.3">
      <c r="A66" s="9" t="s">
        <v>131</v>
      </c>
      <c r="B66" s="6">
        <v>2022</v>
      </c>
      <c r="C66" s="10">
        <v>65</v>
      </c>
      <c r="D66" s="6" t="s">
        <v>245</v>
      </c>
      <c r="E66" s="6" t="s">
        <v>64</v>
      </c>
      <c r="F66" s="6" t="s">
        <v>246</v>
      </c>
      <c r="G66" s="11" t="s">
        <v>134</v>
      </c>
      <c r="H66" s="6" t="s">
        <v>135</v>
      </c>
      <c r="I66" s="6" t="s">
        <v>135</v>
      </c>
      <c r="J66" s="6" t="s">
        <v>238</v>
      </c>
      <c r="K66" s="12">
        <v>0</v>
      </c>
      <c r="L66" s="12">
        <v>0</v>
      </c>
      <c r="M66" s="10">
        <v>0</v>
      </c>
      <c r="N66" s="12">
        <v>0</v>
      </c>
      <c r="O66" s="12">
        <v>0</v>
      </c>
      <c r="P66" s="10">
        <v>0</v>
      </c>
      <c r="Q66" s="12">
        <v>0</v>
      </c>
      <c r="R66" s="12">
        <v>0</v>
      </c>
      <c r="S66" s="10">
        <v>0</v>
      </c>
      <c r="T66" s="12">
        <v>0</v>
      </c>
      <c r="U66" s="12">
        <v>0</v>
      </c>
      <c r="V66" s="10">
        <v>0</v>
      </c>
      <c r="W66" s="12">
        <v>0</v>
      </c>
      <c r="X66" s="12">
        <v>0</v>
      </c>
      <c r="Y66" s="10">
        <v>0</v>
      </c>
    </row>
    <row r="67" spans="1:25" x14ac:dyDescent="0.3">
      <c r="A67" s="9" t="s">
        <v>131</v>
      </c>
      <c r="B67" s="6">
        <v>2022</v>
      </c>
      <c r="C67" s="10">
        <v>66</v>
      </c>
      <c r="D67" s="6" t="s">
        <v>247</v>
      </c>
      <c r="E67" s="6" t="s">
        <v>64</v>
      </c>
      <c r="F67" s="6" t="s">
        <v>134</v>
      </c>
      <c r="G67" s="13" t="s">
        <v>248</v>
      </c>
      <c r="H67" s="6" t="s">
        <v>135</v>
      </c>
      <c r="I67" s="6" t="s">
        <v>135</v>
      </c>
      <c r="J67" s="6" t="s">
        <v>134</v>
      </c>
      <c r="K67" s="12">
        <v>0</v>
      </c>
      <c r="L67" s="12">
        <v>0</v>
      </c>
      <c r="M67" s="10">
        <v>0</v>
      </c>
      <c r="N67" s="12">
        <v>0</v>
      </c>
      <c r="O67" s="12">
        <v>0</v>
      </c>
      <c r="P67" s="10">
        <v>0</v>
      </c>
      <c r="Q67" s="12">
        <v>0</v>
      </c>
      <c r="R67" s="12">
        <v>0</v>
      </c>
      <c r="S67" s="10">
        <v>0</v>
      </c>
      <c r="T67" s="12">
        <v>0</v>
      </c>
      <c r="U67" s="12">
        <v>0</v>
      </c>
      <c r="V67" s="10">
        <v>0</v>
      </c>
      <c r="W67" s="12">
        <v>0</v>
      </c>
      <c r="X67" s="12">
        <v>0</v>
      </c>
      <c r="Y67" s="10">
        <v>0</v>
      </c>
    </row>
    <row r="68" spans="1:25" x14ac:dyDescent="0.3">
      <c r="A68" s="9" t="s">
        <v>131</v>
      </c>
      <c r="B68" s="6">
        <v>2022</v>
      </c>
      <c r="C68" s="10">
        <v>67</v>
      </c>
      <c r="D68" s="6" t="s">
        <v>249</v>
      </c>
      <c r="E68" s="6" t="s">
        <v>64</v>
      </c>
      <c r="F68" s="6" t="s">
        <v>250</v>
      </c>
      <c r="G68" s="11" t="s">
        <v>134</v>
      </c>
      <c r="H68" s="6" t="s">
        <v>135</v>
      </c>
      <c r="I68" s="6" t="s">
        <v>135</v>
      </c>
      <c r="J68" s="6" t="s">
        <v>134</v>
      </c>
      <c r="K68" s="12">
        <v>100</v>
      </c>
      <c r="L68" s="12">
        <v>27</v>
      </c>
      <c r="M68" s="10">
        <v>141</v>
      </c>
      <c r="N68" s="12">
        <v>0</v>
      </c>
      <c r="O68" s="12">
        <v>0</v>
      </c>
      <c r="P68" s="10">
        <v>0</v>
      </c>
      <c r="Q68" s="12">
        <v>0</v>
      </c>
      <c r="R68" s="12">
        <v>0</v>
      </c>
      <c r="S68" s="10">
        <v>0</v>
      </c>
      <c r="T68" s="12">
        <v>0</v>
      </c>
      <c r="U68" s="12">
        <v>0</v>
      </c>
      <c r="V68" s="10">
        <v>0</v>
      </c>
      <c r="W68" s="12">
        <v>0</v>
      </c>
      <c r="X68" s="12">
        <v>0</v>
      </c>
      <c r="Y68" s="10">
        <v>0</v>
      </c>
    </row>
    <row r="69" spans="1:25" x14ac:dyDescent="0.3">
      <c r="A69" s="9" t="s">
        <v>131</v>
      </c>
      <c r="B69" s="6">
        <v>2022</v>
      </c>
      <c r="C69" s="10">
        <v>68</v>
      </c>
      <c r="D69" s="6" t="s">
        <v>251</v>
      </c>
      <c r="E69" s="6" t="s">
        <v>64</v>
      </c>
      <c r="F69" s="6" t="s">
        <v>250</v>
      </c>
      <c r="G69" s="11" t="s">
        <v>134</v>
      </c>
      <c r="H69" s="6" t="s">
        <v>135</v>
      </c>
      <c r="I69" s="6" t="s">
        <v>135</v>
      </c>
      <c r="J69" s="6" t="s">
        <v>134</v>
      </c>
      <c r="K69" s="12">
        <v>100</v>
      </c>
      <c r="L69" s="12">
        <v>27</v>
      </c>
      <c r="M69" s="10">
        <v>141</v>
      </c>
      <c r="N69" s="12">
        <v>0</v>
      </c>
      <c r="O69" s="12">
        <v>0</v>
      </c>
      <c r="P69" s="10">
        <v>0</v>
      </c>
      <c r="Q69" s="12">
        <v>0</v>
      </c>
      <c r="R69" s="12">
        <v>0</v>
      </c>
      <c r="S69" s="10">
        <v>0</v>
      </c>
      <c r="T69" s="12">
        <v>0</v>
      </c>
      <c r="U69" s="12">
        <v>0</v>
      </c>
      <c r="V69" s="10">
        <v>0</v>
      </c>
      <c r="W69" s="12">
        <v>0</v>
      </c>
      <c r="X69" s="12">
        <v>0</v>
      </c>
      <c r="Y69" s="10">
        <v>0</v>
      </c>
    </row>
    <row r="70" spans="1:25" x14ac:dyDescent="0.3">
      <c r="A70" s="9" t="s">
        <v>131</v>
      </c>
      <c r="B70" s="6">
        <v>2022</v>
      </c>
      <c r="C70" s="10">
        <v>69</v>
      </c>
      <c r="D70" s="6" t="s">
        <v>252</v>
      </c>
      <c r="E70" s="6" t="s">
        <v>64</v>
      </c>
      <c r="F70" s="6" t="s">
        <v>250</v>
      </c>
      <c r="G70" s="11" t="s">
        <v>134</v>
      </c>
      <c r="H70" s="6" t="s">
        <v>135</v>
      </c>
      <c r="I70" s="6" t="s">
        <v>135</v>
      </c>
      <c r="J70" s="6" t="s">
        <v>134</v>
      </c>
      <c r="K70" s="12">
        <v>100</v>
      </c>
      <c r="L70" s="12">
        <v>27</v>
      </c>
      <c r="M70" s="10">
        <v>141</v>
      </c>
      <c r="N70" s="12">
        <v>0</v>
      </c>
      <c r="O70" s="12">
        <v>0</v>
      </c>
      <c r="P70" s="10">
        <v>0</v>
      </c>
      <c r="Q70" s="12">
        <v>0</v>
      </c>
      <c r="R70" s="12">
        <v>0</v>
      </c>
      <c r="S70" s="10">
        <v>0</v>
      </c>
      <c r="T70" s="12">
        <v>0</v>
      </c>
      <c r="U70" s="12">
        <v>0</v>
      </c>
      <c r="V70" s="10">
        <v>0</v>
      </c>
      <c r="W70" s="12">
        <v>0</v>
      </c>
      <c r="X70" s="12">
        <v>0</v>
      </c>
      <c r="Y70" s="10">
        <v>0</v>
      </c>
    </row>
    <row r="71" spans="1:25" x14ac:dyDescent="0.3">
      <c r="A71" s="9" t="s">
        <v>131</v>
      </c>
      <c r="B71" s="6">
        <v>2022</v>
      </c>
      <c r="C71" s="10">
        <v>70</v>
      </c>
      <c r="D71" s="6" t="s">
        <v>253</v>
      </c>
      <c r="E71" s="6" t="s">
        <v>64</v>
      </c>
      <c r="F71" s="6" t="s">
        <v>250</v>
      </c>
      <c r="G71" s="11" t="s">
        <v>134</v>
      </c>
      <c r="H71" s="6" t="s">
        <v>135</v>
      </c>
      <c r="I71" s="6" t="s">
        <v>135</v>
      </c>
      <c r="J71" s="6" t="s">
        <v>134</v>
      </c>
      <c r="K71" s="12">
        <v>100</v>
      </c>
      <c r="L71" s="12">
        <v>5</v>
      </c>
      <c r="M71" s="10">
        <v>141</v>
      </c>
      <c r="N71" s="12">
        <v>0</v>
      </c>
      <c r="O71" s="12">
        <v>0</v>
      </c>
      <c r="P71" s="10">
        <v>0</v>
      </c>
      <c r="Q71" s="12">
        <v>0</v>
      </c>
      <c r="R71" s="12">
        <v>0</v>
      </c>
      <c r="S71" s="10">
        <v>0</v>
      </c>
      <c r="T71" s="12">
        <v>0</v>
      </c>
      <c r="U71" s="12">
        <v>0</v>
      </c>
      <c r="V71" s="10">
        <v>0</v>
      </c>
      <c r="W71" s="12">
        <v>0</v>
      </c>
      <c r="X71" s="12">
        <v>0</v>
      </c>
      <c r="Y71" s="10">
        <v>0</v>
      </c>
    </row>
    <row r="72" spans="1:25" x14ac:dyDescent="0.3">
      <c r="A72" s="9" t="s">
        <v>131</v>
      </c>
      <c r="B72" s="6">
        <v>2022</v>
      </c>
      <c r="C72" s="10">
        <v>71</v>
      </c>
      <c r="D72" s="6" t="s">
        <v>254</v>
      </c>
      <c r="E72" s="6" t="s">
        <v>64</v>
      </c>
      <c r="F72" s="6" t="s">
        <v>250</v>
      </c>
      <c r="G72" s="11" t="s">
        <v>134</v>
      </c>
      <c r="H72" s="6" t="s">
        <v>135</v>
      </c>
      <c r="I72" s="6" t="s">
        <v>135</v>
      </c>
      <c r="J72" s="6" t="s">
        <v>134</v>
      </c>
      <c r="K72" s="12">
        <v>100</v>
      </c>
      <c r="L72" s="12">
        <v>27</v>
      </c>
      <c r="M72" s="10">
        <v>141</v>
      </c>
      <c r="N72" s="12">
        <v>0</v>
      </c>
      <c r="O72" s="12">
        <v>0</v>
      </c>
      <c r="P72" s="10">
        <v>0</v>
      </c>
      <c r="Q72" s="12">
        <v>0</v>
      </c>
      <c r="R72" s="12">
        <v>0</v>
      </c>
      <c r="S72" s="10">
        <v>0</v>
      </c>
      <c r="T72" s="12">
        <v>0</v>
      </c>
      <c r="U72" s="12">
        <v>0</v>
      </c>
      <c r="V72" s="10">
        <v>0</v>
      </c>
      <c r="W72" s="12">
        <v>0</v>
      </c>
      <c r="X72" s="12">
        <v>0</v>
      </c>
      <c r="Y72" s="10">
        <v>0</v>
      </c>
    </row>
    <row r="73" spans="1:25" x14ac:dyDescent="0.3">
      <c r="A73" s="9" t="s">
        <v>131</v>
      </c>
      <c r="B73" s="6">
        <v>2022</v>
      </c>
      <c r="C73" s="10">
        <v>72</v>
      </c>
      <c r="D73" s="6" t="s">
        <v>255</v>
      </c>
      <c r="E73" s="6" t="s">
        <v>64</v>
      </c>
      <c r="F73" s="6" t="s">
        <v>134</v>
      </c>
      <c r="G73" s="13" t="s">
        <v>256</v>
      </c>
      <c r="H73" s="6" t="s">
        <v>135</v>
      </c>
      <c r="I73" s="6" t="s">
        <v>135</v>
      </c>
      <c r="J73" s="6" t="s">
        <v>134</v>
      </c>
      <c r="K73" s="12">
        <v>0</v>
      </c>
      <c r="L73" s="12">
        <v>0</v>
      </c>
      <c r="M73" s="10">
        <v>0</v>
      </c>
      <c r="N73" s="12">
        <v>0</v>
      </c>
      <c r="O73" s="12">
        <v>0</v>
      </c>
      <c r="P73" s="10">
        <v>0</v>
      </c>
      <c r="Q73" s="12">
        <v>0</v>
      </c>
      <c r="R73" s="12">
        <v>0</v>
      </c>
      <c r="S73" s="10">
        <v>0</v>
      </c>
      <c r="T73" s="12">
        <v>0</v>
      </c>
      <c r="U73" s="12">
        <v>0</v>
      </c>
      <c r="V73" s="10">
        <v>0</v>
      </c>
      <c r="W73" s="12">
        <v>0</v>
      </c>
      <c r="X73" s="12">
        <v>0</v>
      </c>
      <c r="Y73" s="10">
        <v>0</v>
      </c>
    </row>
    <row r="74" spans="1:25" x14ac:dyDescent="0.3">
      <c r="A74" s="9" t="s">
        <v>131</v>
      </c>
      <c r="B74" s="6">
        <v>2022</v>
      </c>
      <c r="C74" s="10">
        <v>73</v>
      </c>
      <c r="D74" s="6" t="s">
        <v>257</v>
      </c>
      <c r="E74" s="6" t="s">
        <v>64</v>
      </c>
      <c r="F74" s="6" t="s">
        <v>258</v>
      </c>
      <c r="G74" s="11" t="s">
        <v>134</v>
      </c>
      <c r="H74" s="6" t="s">
        <v>135</v>
      </c>
      <c r="I74" s="6" t="s">
        <v>135</v>
      </c>
      <c r="J74" s="6" t="s">
        <v>134</v>
      </c>
      <c r="K74" s="12">
        <v>100</v>
      </c>
      <c r="L74" s="12">
        <v>27</v>
      </c>
      <c r="M74" s="10">
        <v>141</v>
      </c>
      <c r="N74" s="12">
        <v>0</v>
      </c>
      <c r="O74" s="12">
        <v>0</v>
      </c>
      <c r="P74" s="10">
        <v>0</v>
      </c>
      <c r="Q74" s="12">
        <v>0</v>
      </c>
      <c r="R74" s="12">
        <v>0</v>
      </c>
      <c r="S74" s="10">
        <v>0</v>
      </c>
      <c r="T74" s="12">
        <v>0</v>
      </c>
      <c r="U74" s="12">
        <v>0</v>
      </c>
      <c r="V74" s="10">
        <v>0</v>
      </c>
      <c r="W74" s="12">
        <v>0</v>
      </c>
      <c r="X74" s="12">
        <v>0</v>
      </c>
      <c r="Y74" s="10">
        <v>0</v>
      </c>
    </row>
    <row r="75" spans="1:25" x14ac:dyDescent="0.3">
      <c r="A75" s="9" t="s">
        <v>131</v>
      </c>
      <c r="B75" s="6">
        <v>2022</v>
      </c>
      <c r="C75" s="10">
        <v>74</v>
      </c>
      <c r="D75" s="6" t="s">
        <v>259</v>
      </c>
      <c r="E75" s="6" t="s">
        <v>64</v>
      </c>
      <c r="F75" s="6" t="s">
        <v>258</v>
      </c>
      <c r="G75" s="11" t="s">
        <v>134</v>
      </c>
      <c r="H75" s="6" t="s">
        <v>135</v>
      </c>
      <c r="I75" s="6" t="s">
        <v>135</v>
      </c>
      <c r="J75" s="6" t="s">
        <v>134</v>
      </c>
      <c r="K75" s="12">
        <v>100</v>
      </c>
      <c r="L75" s="12">
        <v>27</v>
      </c>
      <c r="M75" s="10">
        <v>141</v>
      </c>
      <c r="N75" s="12">
        <v>0</v>
      </c>
      <c r="O75" s="12">
        <v>0</v>
      </c>
      <c r="P75" s="10">
        <v>0</v>
      </c>
      <c r="Q75" s="12">
        <v>0</v>
      </c>
      <c r="R75" s="12">
        <v>0</v>
      </c>
      <c r="S75" s="10">
        <v>0</v>
      </c>
      <c r="T75" s="12">
        <v>0</v>
      </c>
      <c r="U75" s="12">
        <v>0</v>
      </c>
      <c r="V75" s="10">
        <v>0</v>
      </c>
      <c r="W75" s="12">
        <v>0</v>
      </c>
      <c r="X75" s="12">
        <v>0</v>
      </c>
      <c r="Y75" s="10">
        <v>0</v>
      </c>
    </row>
    <row r="76" spans="1:25" x14ac:dyDescent="0.3">
      <c r="A76" s="9" t="s">
        <v>131</v>
      </c>
      <c r="B76" s="6">
        <v>2022</v>
      </c>
      <c r="C76" s="10">
        <v>75</v>
      </c>
      <c r="D76" s="6" t="s">
        <v>260</v>
      </c>
      <c r="E76" s="6" t="s">
        <v>64</v>
      </c>
      <c r="F76" s="6" t="s">
        <v>258</v>
      </c>
      <c r="G76" s="11" t="s">
        <v>134</v>
      </c>
      <c r="H76" s="6" t="s">
        <v>135</v>
      </c>
      <c r="I76" s="6" t="s">
        <v>135</v>
      </c>
      <c r="J76" s="6" t="s">
        <v>134</v>
      </c>
      <c r="K76" s="12">
        <v>100</v>
      </c>
      <c r="L76" s="12">
        <v>27</v>
      </c>
      <c r="M76" s="10">
        <v>141</v>
      </c>
      <c r="N76" s="12">
        <v>0</v>
      </c>
      <c r="O76" s="12">
        <v>0</v>
      </c>
      <c r="P76" s="10">
        <v>0</v>
      </c>
      <c r="Q76" s="12">
        <v>0</v>
      </c>
      <c r="R76" s="12">
        <v>0</v>
      </c>
      <c r="S76" s="10">
        <v>0</v>
      </c>
      <c r="T76" s="12">
        <v>0</v>
      </c>
      <c r="U76" s="12">
        <v>0</v>
      </c>
      <c r="V76" s="10">
        <v>0</v>
      </c>
      <c r="W76" s="12">
        <v>0</v>
      </c>
      <c r="X76" s="12">
        <v>0</v>
      </c>
      <c r="Y76" s="10">
        <v>0</v>
      </c>
    </row>
    <row r="77" spans="1:25" x14ac:dyDescent="0.3">
      <c r="A77" s="9" t="s">
        <v>131</v>
      </c>
      <c r="B77" s="6">
        <v>2022</v>
      </c>
      <c r="C77" s="10">
        <v>76</v>
      </c>
      <c r="D77" s="6" t="s">
        <v>261</v>
      </c>
      <c r="E77" s="6" t="s">
        <v>64</v>
      </c>
      <c r="F77" s="6" t="s">
        <v>258</v>
      </c>
      <c r="G77" s="11" t="s">
        <v>134</v>
      </c>
      <c r="H77" s="6" t="s">
        <v>135</v>
      </c>
      <c r="I77" s="6" t="s">
        <v>135</v>
      </c>
      <c r="J77" s="6" t="s">
        <v>134</v>
      </c>
      <c r="K77" s="12">
        <v>100</v>
      </c>
      <c r="L77" s="12">
        <v>27</v>
      </c>
      <c r="M77" s="10">
        <v>141</v>
      </c>
      <c r="N77" s="12">
        <v>0</v>
      </c>
      <c r="O77" s="12">
        <v>0</v>
      </c>
      <c r="P77" s="10">
        <v>0</v>
      </c>
      <c r="Q77" s="12">
        <v>0</v>
      </c>
      <c r="R77" s="12">
        <v>0</v>
      </c>
      <c r="S77" s="10">
        <v>0</v>
      </c>
      <c r="T77" s="12">
        <v>0</v>
      </c>
      <c r="U77" s="12">
        <v>0</v>
      </c>
      <c r="V77" s="10">
        <v>0</v>
      </c>
      <c r="W77" s="12">
        <v>0</v>
      </c>
      <c r="X77" s="12">
        <v>0</v>
      </c>
      <c r="Y77" s="10">
        <v>0</v>
      </c>
    </row>
    <row r="78" spans="1:25" x14ac:dyDescent="0.3">
      <c r="A78" s="9" t="s">
        <v>131</v>
      </c>
      <c r="B78" s="6">
        <v>2022</v>
      </c>
      <c r="C78" s="10">
        <v>77</v>
      </c>
      <c r="D78" s="6" t="s">
        <v>262</v>
      </c>
      <c r="E78" s="6" t="s">
        <v>64</v>
      </c>
      <c r="F78" s="6" t="s">
        <v>258</v>
      </c>
      <c r="G78" s="11" t="s">
        <v>134</v>
      </c>
      <c r="H78" s="6" t="s">
        <v>135</v>
      </c>
      <c r="I78" s="6" t="s">
        <v>135</v>
      </c>
      <c r="J78" s="6" t="s">
        <v>134</v>
      </c>
      <c r="K78" s="12">
        <v>100</v>
      </c>
      <c r="L78" s="12">
        <v>27</v>
      </c>
      <c r="M78" s="10">
        <v>141</v>
      </c>
      <c r="N78" s="12">
        <v>0</v>
      </c>
      <c r="O78" s="12">
        <v>0</v>
      </c>
      <c r="P78" s="10">
        <v>0</v>
      </c>
      <c r="Q78" s="12">
        <v>0</v>
      </c>
      <c r="R78" s="12">
        <v>0</v>
      </c>
      <c r="S78" s="10">
        <v>0</v>
      </c>
      <c r="T78" s="12">
        <v>0</v>
      </c>
      <c r="U78" s="12">
        <v>0</v>
      </c>
      <c r="V78" s="10">
        <v>0</v>
      </c>
      <c r="W78" s="12">
        <v>0</v>
      </c>
      <c r="X78" s="12">
        <v>0</v>
      </c>
      <c r="Y78" s="10">
        <v>0</v>
      </c>
    </row>
    <row r="79" spans="1:25" x14ac:dyDescent="0.3">
      <c r="A79" s="9" t="s">
        <v>131</v>
      </c>
      <c r="B79" s="6">
        <v>2022</v>
      </c>
      <c r="C79" s="10">
        <v>78</v>
      </c>
      <c r="D79" s="6" t="s">
        <v>263</v>
      </c>
      <c r="E79" s="6" t="s">
        <v>64</v>
      </c>
      <c r="F79" s="6" t="s">
        <v>258</v>
      </c>
      <c r="G79" s="11" t="s">
        <v>134</v>
      </c>
      <c r="H79" s="6" t="s">
        <v>135</v>
      </c>
      <c r="I79" s="6" t="s">
        <v>135</v>
      </c>
      <c r="J79" s="6" t="s">
        <v>134</v>
      </c>
      <c r="K79" s="12">
        <v>100</v>
      </c>
      <c r="L79" s="12">
        <v>27</v>
      </c>
      <c r="M79" s="10">
        <v>141</v>
      </c>
      <c r="N79" s="12">
        <v>0</v>
      </c>
      <c r="O79" s="12">
        <v>0</v>
      </c>
      <c r="P79" s="10">
        <v>0</v>
      </c>
      <c r="Q79" s="12">
        <v>0</v>
      </c>
      <c r="R79" s="12">
        <v>0</v>
      </c>
      <c r="S79" s="10">
        <v>0</v>
      </c>
      <c r="T79" s="12">
        <v>0</v>
      </c>
      <c r="U79" s="12">
        <v>0</v>
      </c>
      <c r="V79" s="10">
        <v>0</v>
      </c>
      <c r="W79" s="12">
        <v>0</v>
      </c>
      <c r="X79" s="12">
        <v>0</v>
      </c>
      <c r="Y79" s="10">
        <v>0</v>
      </c>
    </row>
    <row r="80" spans="1:25" x14ac:dyDescent="0.3">
      <c r="A80" s="9" t="s">
        <v>131</v>
      </c>
      <c r="B80" s="6">
        <v>2022</v>
      </c>
      <c r="C80" s="10">
        <v>79</v>
      </c>
      <c r="D80" s="6" t="s">
        <v>264</v>
      </c>
      <c r="E80" s="6" t="s">
        <v>64</v>
      </c>
      <c r="F80" s="6" t="s">
        <v>258</v>
      </c>
      <c r="G80" s="11" t="s">
        <v>134</v>
      </c>
      <c r="H80" s="6" t="s">
        <v>135</v>
      </c>
      <c r="I80" s="6" t="s">
        <v>135</v>
      </c>
      <c r="J80" s="6" t="s">
        <v>134</v>
      </c>
      <c r="K80" s="12">
        <v>100</v>
      </c>
      <c r="L80" s="12">
        <v>27</v>
      </c>
      <c r="M80" s="10">
        <v>141</v>
      </c>
      <c r="N80" s="12">
        <v>0</v>
      </c>
      <c r="O80" s="12">
        <v>0</v>
      </c>
      <c r="P80" s="10">
        <v>0</v>
      </c>
      <c r="Q80" s="12">
        <v>0</v>
      </c>
      <c r="R80" s="12">
        <v>0</v>
      </c>
      <c r="S80" s="10">
        <v>0</v>
      </c>
      <c r="T80" s="12">
        <v>0</v>
      </c>
      <c r="U80" s="12">
        <v>0</v>
      </c>
      <c r="V80" s="10">
        <v>0</v>
      </c>
      <c r="W80" s="12">
        <v>0</v>
      </c>
      <c r="X80" s="12">
        <v>0</v>
      </c>
      <c r="Y80" s="10">
        <v>0</v>
      </c>
    </row>
    <row r="81" spans="1:25" x14ac:dyDescent="0.3">
      <c r="A81" s="9" t="s">
        <v>131</v>
      </c>
      <c r="B81" s="6">
        <v>2022</v>
      </c>
      <c r="C81" s="10">
        <v>80</v>
      </c>
      <c r="D81" s="6" t="s">
        <v>265</v>
      </c>
      <c r="E81" s="6" t="s">
        <v>64</v>
      </c>
      <c r="F81" s="6" t="s">
        <v>258</v>
      </c>
      <c r="G81" s="11" t="s">
        <v>134</v>
      </c>
      <c r="H81" s="6" t="s">
        <v>135</v>
      </c>
      <c r="I81" s="6" t="s">
        <v>135</v>
      </c>
      <c r="J81" s="6" t="s">
        <v>134</v>
      </c>
      <c r="K81" s="12">
        <v>100</v>
      </c>
      <c r="L81" s="12">
        <v>27</v>
      </c>
      <c r="M81" s="10">
        <v>141</v>
      </c>
      <c r="N81" s="12">
        <v>0</v>
      </c>
      <c r="O81" s="12">
        <v>0</v>
      </c>
      <c r="P81" s="10">
        <v>0</v>
      </c>
      <c r="Q81" s="12">
        <v>0</v>
      </c>
      <c r="R81" s="12">
        <v>0</v>
      </c>
      <c r="S81" s="10">
        <v>0</v>
      </c>
      <c r="T81" s="12">
        <v>0</v>
      </c>
      <c r="U81" s="12">
        <v>0</v>
      </c>
      <c r="V81" s="10">
        <v>0</v>
      </c>
      <c r="W81" s="12">
        <v>0</v>
      </c>
      <c r="X81" s="12">
        <v>0</v>
      </c>
      <c r="Y81" s="10">
        <v>0</v>
      </c>
    </row>
    <row r="82" spans="1:25" x14ac:dyDescent="0.3">
      <c r="A82" s="9" t="s">
        <v>131</v>
      </c>
      <c r="B82" s="6">
        <v>2022</v>
      </c>
      <c r="C82" s="10">
        <v>81</v>
      </c>
      <c r="D82" s="6" t="s">
        <v>266</v>
      </c>
      <c r="E82" s="6" t="s">
        <v>64</v>
      </c>
      <c r="F82" s="6" t="s">
        <v>258</v>
      </c>
      <c r="G82" s="11" t="s">
        <v>134</v>
      </c>
      <c r="H82" s="6" t="s">
        <v>135</v>
      </c>
      <c r="I82" s="6" t="s">
        <v>135</v>
      </c>
      <c r="J82" s="6" t="s">
        <v>134</v>
      </c>
      <c r="K82" s="12">
        <v>100</v>
      </c>
      <c r="L82" s="12">
        <v>27</v>
      </c>
      <c r="M82" s="10">
        <v>141</v>
      </c>
      <c r="N82" s="12">
        <v>0</v>
      </c>
      <c r="O82" s="12">
        <v>0</v>
      </c>
      <c r="P82" s="10">
        <v>0</v>
      </c>
      <c r="Q82" s="12">
        <v>0</v>
      </c>
      <c r="R82" s="12">
        <v>0</v>
      </c>
      <c r="S82" s="10">
        <v>0</v>
      </c>
      <c r="T82" s="12">
        <v>0</v>
      </c>
      <c r="U82" s="12">
        <v>0</v>
      </c>
      <c r="V82" s="10">
        <v>0</v>
      </c>
      <c r="W82" s="12">
        <v>0</v>
      </c>
      <c r="X82" s="12">
        <v>0</v>
      </c>
      <c r="Y82" s="10">
        <v>0</v>
      </c>
    </row>
    <row r="83" spans="1:25" x14ac:dyDescent="0.3">
      <c r="A83" s="9" t="s">
        <v>131</v>
      </c>
      <c r="B83" s="6">
        <v>2022</v>
      </c>
      <c r="C83" s="10">
        <v>82</v>
      </c>
      <c r="D83" s="6" t="s">
        <v>267</v>
      </c>
      <c r="E83" s="6" t="s">
        <v>64</v>
      </c>
      <c r="F83" s="6" t="s">
        <v>134</v>
      </c>
      <c r="G83" s="13" t="s">
        <v>268</v>
      </c>
      <c r="H83" s="6" t="s">
        <v>135</v>
      </c>
      <c r="I83" s="6" t="s">
        <v>135</v>
      </c>
      <c r="J83" s="6" t="s">
        <v>134</v>
      </c>
      <c r="K83" s="12">
        <v>0</v>
      </c>
      <c r="L83" s="12">
        <v>0</v>
      </c>
      <c r="M83" s="10">
        <v>0</v>
      </c>
      <c r="N83" s="12">
        <v>0</v>
      </c>
      <c r="O83" s="12">
        <v>0</v>
      </c>
      <c r="P83" s="10">
        <v>0</v>
      </c>
      <c r="Q83" s="12">
        <v>0</v>
      </c>
      <c r="R83" s="12">
        <v>0</v>
      </c>
      <c r="S83" s="10">
        <v>0</v>
      </c>
      <c r="T83" s="12">
        <v>0</v>
      </c>
      <c r="U83" s="12">
        <v>0</v>
      </c>
      <c r="V83" s="10">
        <v>0</v>
      </c>
      <c r="W83" s="12">
        <v>0</v>
      </c>
      <c r="X83" s="12">
        <v>0</v>
      </c>
      <c r="Y83" s="10">
        <v>0</v>
      </c>
    </row>
    <row r="84" spans="1:25" x14ac:dyDescent="0.3">
      <c r="A84" s="9" t="s">
        <v>131</v>
      </c>
      <c r="B84" s="6">
        <v>2022</v>
      </c>
      <c r="C84" s="10">
        <v>83</v>
      </c>
      <c r="D84" s="6" t="s">
        <v>269</v>
      </c>
      <c r="E84" s="6" t="s">
        <v>64</v>
      </c>
      <c r="F84" s="6" t="s">
        <v>134</v>
      </c>
      <c r="G84" s="13" t="s">
        <v>270</v>
      </c>
      <c r="H84" s="6" t="s">
        <v>135</v>
      </c>
      <c r="I84" s="6" t="s">
        <v>135</v>
      </c>
      <c r="J84" s="6" t="s">
        <v>134</v>
      </c>
      <c r="K84" s="12">
        <v>0</v>
      </c>
      <c r="L84" s="12">
        <v>0</v>
      </c>
      <c r="M84" s="10">
        <v>0</v>
      </c>
      <c r="N84" s="12">
        <v>0</v>
      </c>
      <c r="O84" s="12">
        <v>0</v>
      </c>
      <c r="P84" s="10">
        <v>0</v>
      </c>
      <c r="Q84" s="12">
        <v>0</v>
      </c>
      <c r="R84" s="12">
        <v>0</v>
      </c>
      <c r="S84" s="10">
        <v>0</v>
      </c>
      <c r="T84" s="12">
        <v>0</v>
      </c>
      <c r="U84" s="12">
        <v>0</v>
      </c>
      <c r="V84" s="10">
        <v>0</v>
      </c>
      <c r="W84" s="12">
        <v>0</v>
      </c>
      <c r="X84" s="12">
        <v>0</v>
      </c>
      <c r="Y84" s="10">
        <v>0</v>
      </c>
    </row>
    <row r="85" spans="1:25" x14ac:dyDescent="0.3">
      <c r="A85" s="9" t="s">
        <v>131</v>
      </c>
      <c r="B85" s="6">
        <v>2022</v>
      </c>
      <c r="C85" s="10">
        <v>84</v>
      </c>
      <c r="D85" s="6" t="s">
        <v>271</v>
      </c>
      <c r="E85" s="6" t="s">
        <v>64</v>
      </c>
      <c r="F85" s="6" t="s">
        <v>272</v>
      </c>
      <c r="G85" s="11" t="s">
        <v>134</v>
      </c>
      <c r="H85" s="6" t="s">
        <v>135</v>
      </c>
      <c r="I85" s="6" t="s">
        <v>135</v>
      </c>
      <c r="J85" s="6" t="s">
        <v>134</v>
      </c>
      <c r="K85" s="12">
        <v>100</v>
      </c>
      <c r="L85" s="12">
        <v>27</v>
      </c>
      <c r="M85" s="10">
        <v>141</v>
      </c>
      <c r="N85" s="12">
        <v>0</v>
      </c>
      <c r="O85" s="12">
        <v>0</v>
      </c>
      <c r="P85" s="10">
        <v>0</v>
      </c>
      <c r="Q85" s="12">
        <v>0</v>
      </c>
      <c r="R85" s="12">
        <v>0</v>
      </c>
      <c r="S85" s="10">
        <v>0</v>
      </c>
      <c r="T85" s="12">
        <v>0</v>
      </c>
      <c r="U85" s="12">
        <v>0</v>
      </c>
      <c r="V85" s="10">
        <v>0</v>
      </c>
      <c r="W85" s="12">
        <v>0</v>
      </c>
      <c r="X85" s="12">
        <v>0</v>
      </c>
      <c r="Y85" s="10">
        <v>0</v>
      </c>
    </row>
    <row r="86" spans="1:25" x14ac:dyDescent="0.3">
      <c r="A86" s="9" t="s">
        <v>131</v>
      </c>
      <c r="B86" s="6">
        <v>2022</v>
      </c>
      <c r="C86" s="10">
        <v>85</v>
      </c>
      <c r="D86" s="6" t="s">
        <v>273</v>
      </c>
      <c r="E86" s="6" t="s">
        <v>64</v>
      </c>
      <c r="F86" s="6" t="s">
        <v>272</v>
      </c>
      <c r="G86" s="11" t="s">
        <v>134</v>
      </c>
      <c r="H86" s="6" t="s">
        <v>135</v>
      </c>
      <c r="I86" s="6" t="s">
        <v>135</v>
      </c>
      <c r="J86" s="6" t="s">
        <v>134</v>
      </c>
      <c r="K86" s="12">
        <v>100</v>
      </c>
      <c r="L86" s="12">
        <v>27</v>
      </c>
      <c r="M86" s="10">
        <v>141</v>
      </c>
      <c r="N86" s="12">
        <v>0</v>
      </c>
      <c r="O86" s="12">
        <v>0</v>
      </c>
      <c r="P86" s="10">
        <v>0</v>
      </c>
      <c r="Q86" s="12">
        <v>0</v>
      </c>
      <c r="R86" s="12">
        <v>0</v>
      </c>
      <c r="S86" s="10">
        <v>0</v>
      </c>
      <c r="T86" s="12">
        <v>0</v>
      </c>
      <c r="U86" s="12">
        <v>0</v>
      </c>
      <c r="V86" s="10">
        <v>0</v>
      </c>
      <c r="W86" s="12">
        <v>0</v>
      </c>
      <c r="X86" s="12">
        <v>0</v>
      </c>
      <c r="Y86" s="10">
        <v>0</v>
      </c>
    </row>
    <row r="87" spans="1:25" x14ac:dyDescent="0.3">
      <c r="A87" s="9" t="s">
        <v>131</v>
      </c>
      <c r="B87" s="6">
        <v>2022</v>
      </c>
      <c r="C87" s="10">
        <v>86</v>
      </c>
      <c r="D87" s="6" t="s">
        <v>274</v>
      </c>
      <c r="E87" s="6" t="s">
        <v>64</v>
      </c>
      <c r="F87" s="6" t="s">
        <v>272</v>
      </c>
      <c r="G87" s="11" t="s">
        <v>134</v>
      </c>
      <c r="H87" s="6" t="s">
        <v>135</v>
      </c>
      <c r="I87" s="6" t="s">
        <v>135</v>
      </c>
      <c r="J87" s="6" t="s">
        <v>134</v>
      </c>
      <c r="K87" s="12">
        <v>100</v>
      </c>
      <c r="L87" s="12">
        <v>27</v>
      </c>
      <c r="M87" s="10">
        <v>141</v>
      </c>
      <c r="N87" s="12">
        <v>0</v>
      </c>
      <c r="O87" s="12">
        <v>0</v>
      </c>
      <c r="P87" s="10">
        <v>0</v>
      </c>
      <c r="Q87" s="12">
        <v>0</v>
      </c>
      <c r="R87" s="12">
        <v>0</v>
      </c>
      <c r="S87" s="10">
        <v>0</v>
      </c>
      <c r="T87" s="12">
        <v>0</v>
      </c>
      <c r="U87" s="12">
        <v>0</v>
      </c>
      <c r="V87" s="10">
        <v>0</v>
      </c>
      <c r="W87" s="12">
        <v>0</v>
      </c>
      <c r="X87" s="12">
        <v>0</v>
      </c>
      <c r="Y87" s="10">
        <v>0</v>
      </c>
    </row>
    <row r="88" spans="1:25" x14ac:dyDescent="0.3">
      <c r="A88" s="9" t="s">
        <v>131</v>
      </c>
      <c r="B88" s="6">
        <v>2022</v>
      </c>
      <c r="C88" s="10">
        <v>87</v>
      </c>
      <c r="D88" s="6" t="s">
        <v>275</v>
      </c>
      <c r="E88" s="6" t="s">
        <v>64</v>
      </c>
      <c r="F88" s="6" t="s">
        <v>272</v>
      </c>
      <c r="G88" s="11" t="s">
        <v>134</v>
      </c>
      <c r="H88" s="6" t="s">
        <v>135</v>
      </c>
      <c r="I88" s="6" t="s">
        <v>135</v>
      </c>
      <c r="J88" s="6" t="s">
        <v>134</v>
      </c>
      <c r="K88" s="12">
        <v>100</v>
      </c>
      <c r="L88" s="12">
        <v>27</v>
      </c>
      <c r="M88" s="10">
        <v>141</v>
      </c>
      <c r="N88" s="12">
        <v>0</v>
      </c>
      <c r="O88" s="12">
        <v>0</v>
      </c>
      <c r="P88" s="10">
        <v>0</v>
      </c>
      <c r="Q88" s="12">
        <v>0</v>
      </c>
      <c r="R88" s="12">
        <v>0</v>
      </c>
      <c r="S88" s="10">
        <v>0</v>
      </c>
      <c r="T88" s="12">
        <v>0</v>
      </c>
      <c r="U88" s="12">
        <v>0</v>
      </c>
      <c r="V88" s="10">
        <v>0</v>
      </c>
      <c r="W88" s="12">
        <v>0</v>
      </c>
      <c r="X88" s="12">
        <v>0</v>
      </c>
      <c r="Y88" s="10">
        <v>0</v>
      </c>
    </row>
    <row r="89" spans="1:25" x14ac:dyDescent="0.3">
      <c r="A89" s="9" t="s">
        <v>131</v>
      </c>
      <c r="B89" s="6">
        <v>2022</v>
      </c>
      <c r="C89" s="10">
        <v>88</v>
      </c>
      <c r="D89" s="6" t="s">
        <v>276</v>
      </c>
      <c r="E89" s="6" t="s">
        <v>64</v>
      </c>
      <c r="F89" s="6" t="s">
        <v>272</v>
      </c>
      <c r="G89" s="11" t="s">
        <v>134</v>
      </c>
      <c r="H89" s="6" t="s">
        <v>135</v>
      </c>
      <c r="I89" s="6" t="s">
        <v>135</v>
      </c>
      <c r="J89" s="6" t="s">
        <v>134</v>
      </c>
      <c r="K89" s="12">
        <v>100</v>
      </c>
      <c r="L89" s="12">
        <v>5</v>
      </c>
      <c r="M89" s="10">
        <v>141</v>
      </c>
      <c r="N89" s="12">
        <v>0</v>
      </c>
      <c r="O89" s="12">
        <v>0</v>
      </c>
      <c r="P89" s="10">
        <v>0</v>
      </c>
      <c r="Q89" s="12">
        <v>0</v>
      </c>
      <c r="R89" s="12">
        <v>0</v>
      </c>
      <c r="S89" s="10">
        <v>0</v>
      </c>
      <c r="T89" s="12">
        <v>0</v>
      </c>
      <c r="U89" s="12">
        <v>0</v>
      </c>
      <c r="V89" s="10">
        <v>0</v>
      </c>
      <c r="W89" s="12">
        <v>0</v>
      </c>
      <c r="X89" s="12">
        <v>0</v>
      </c>
      <c r="Y89" s="10">
        <v>0</v>
      </c>
    </row>
    <row r="90" spans="1:25" x14ac:dyDescent="0.3">
      <c r="A90" s="9" t="s">
        <v>131</v>
      </c>
      <c r="B90" s="6">
        <v>2022</v>
      </c>
      <c r="C90" s="10">
        <v>89</v>
      </c>
      <c r="D90" s="6" t="s">
        <v>277</v>
      </c>
      <c r="E90" s="6" t="s">
        <v>64</v>
      </c>
      <c r="F90" s="6" t="s">
        <v>134</v>
      </c>
      <c r="G90" s="13" t="s">
        <v>278</v>
      </c>
      <c r="H90" s="6" t="s">
        <v>135</v>
      </c>
      <c r="I90" s="6" t="s">
        <v>135</v>
      </c>
      <c r="J90" s="6" t="s">
        <v>134</v>
      </c>
      <c r="K90" s="12">
        <v>0</v>
      </c>
      <c r="L90" s="12">
        <v>0</v>
      </c>
      <c r="M90" s="10">
        <v>0</v>
      </c>
      <c r="N90" s="12">
        <v>0</v>
      </c>
      <c r="O90" s="12">
        <v>0</v>
      </c>
      <c r="P90" s="10">
        <v>0</v>
      </c>
      <c r="Q90" s="12">
        <v>0</v>
      </c>
      <c r="R90" s="12">
        <v>0</v>
      </c>
      <c r="S90" s="10">
        <v>0</v>
      </c>
      <c r="T90" s="12">
        <v>0</v>
      </c>
      <c r="U90" s="12">
        <v>0</v>
      </c>
      <c r="V90" s="10">
        <v>0</v>
      </c>
      <c r="W90" s="12">
        <v>0</v>
      </c>
      <c r="X90" s="12">
        <v>0</v>
      </c>
      <c r="Y90" s="10">
        <v>0</v>
      </c>
    </row>
    <row r="91" spans="1:25" x14ac:dyDescent="0.3">
      <c r="A91" s="9" t="s">
        <v>131</v>
      </c>
      <c r="B91" s="6">
        <v>2022</v>
      </c>
      <c r="C91" s="10">
        <v>90</v>
      </c>
      <c r="D91" s="6" t="s">
        <v>279</v>
      </c>
      <c r="E91" s="6" t="s">
        <v>64</v>
      </c>
      <c r="F91" s="6" t="s">
        <v>280</v>
      </c>
      <c r="G91" s="11" t="s">
        <v>134</v>
      </c>
      <c r="H91" s="6" t="s">
        <v>135</v>
      </c>
      <c r="I91" s="6" t="s">
        <v>135</v>
      </c>
      <c r="J91" s="6" t="s">
        <v>134</v>
      </c>
      <c r="K91" s="12">
        <v>100</v>
      </c>
      <c r="L91" s="12">
        <v>27</v>
      </c>
      <c r="M91" s="10">
        <v>141</v>
      </c>
      <c r="N91" s="12">
        <v>0</v>
      </c>
      <c r="O91" s="12">
        <v>0</v>
      </c>
      <c r="P91" s="10">
        <v>0</v>
      </c>
      <c r="Q91" s="12">
        <v>0</v>
      </c>
      <c r="R91" s="12">
        <v>0</v>
      </c>
      <c r="S91" s="10">
        <v>0</v>
      </c>
      <c r="T91" s="12">
        <v>0</v>
      </c>
      <c r="U91" s="12">
        <v>0</v>
      </c>
      <c r="V91" s="10">
        <v>0</v>
      </c>
      <c r="W91" s="12">
        <v>0</v>
      </c>
      <c r="X91" s="12">
        <v>0</v>
      </c>
      <c r="Y91" s="10">
        <v>0</v>
      </c>
    </row>
    <row r="92" spans="1:25" x14ac:dyDescent="0.3">
      <c r="A92" s="9" t="s">
        <v>131</v>
      </c>
      <c r="B92" s="6">
        <v>2022</v>
      </c>
      <c r="C92" s="10">
        <v>91</v>
      </c>
      <c r="D92" s="6" t="s">
        <v>281</v>
      </c>
      <c r="E92" s="6" t="s">
        <v>64</v>
      </c>
      <c r="F92" s="6" t="s">
        <v>280</v>
      </c>
      <c r="G92" s="11" t="s">
        <v>134</v>
      </c>
      <c r="H92" s="6" t="s">
        <v>135</v>
      </c>
      <c r="I92" s="6" t="s">
        <v>135</v>
      </c>
      <c r="J92" s="6" t="s">
        <v>134</v>
      </c>
      <c r="K92" s="12">
        <v>100</v>
      </c>
      <c r="L92" s="12">
        <v>27</v>
      </c>
      <c r="M92" s="10">
        <v>141</v>
      </c>
      <c r="N92" s="12">
        <v>0</v>
      </c>
      <c r="O92" s="12">
        <v>0</v>
      </c>
      <c r="P92" s="10">
        <v>0</v>
      </c>
      <c r="Q92" s="12">
        <v>0</v>
      </c>
      <c r="R92" s="12">
        <v>0</v>
      </c>
      <c r="S92" s="10">
        <v>0</v>
      </c>
      <c r="T92" s="12">
        <v>0</v>
      </c>
      <c r="U92" s="12">
        <v>0</v>
      </c>
      <c r="V92" s="10">
        <v>0</v>
      </c>
      <c r="W92" s="12">
        <v>0</v>
      </c>
      <c r="X92" s="12">
        <v>0</v>
      </c>
      <c r="Y92" s="10">
        <v>0</v>
      </c>
    </row>
    <row r="93" spans="1:25" x14ac:dyDescent="0.3">
      <c r="A93" s="9" t="s">
        <v>131</v>
      </c>
      <c r="B93" s="6">
        <v>2022</v>
      </c>
      <c r="C93" s="10">
        <v>92</v>
      </c>
      <c r="D93" s="6" t="s">
        <v>282</v>
      </c>
      <c r="E93" s="6" t="s">
        <v>64</v>
      </c>
      <c r="F93" s="6" t="s">
        <v>283</v>
      </c>
      <c r="G93" s="11" t="s">
        <v>134</v>
      </c>
      <c r="H93" s="6" t="s">
        <v>135</v>
      </c>
      <c r="I93" s="6" t="s">
        <v>135</v>
      </c>
      <c r="J93" s="6" t="s">
        <v>134</v>
      </c>
      <c r="K93" s="12">
        <v>100</v>
      </c>
      <c r="L93" s="12">
        <v>27</v>
      </c>
      <c r="M93" s="10">
        <v>141</v>
      </c>
      <c r="N93" s="12">
        <v>29.98</v>
      </c>
      <c r="O93" s="12">
        <v>15</v>
      </c>
      <c r="P93" s="10">
        <v>64</v>
      </c>
      <c r="Q93" s="12">
        <v>29.98</v>
      </c>
      <c r="R93" s="12">
        <v>13</v>
      </c>
      <c r="S93" s="10">
        <v>63</v>
      </c>
      <c r="T93" s="12">
        <v>0</v>
      </c>
      <c r="U93" s="12">
        <v>0</v>
      </c>
      <c r="V93" s="10">
        <v>0</v>
      </c>
      <c r="W93" s="12">
        <v>0</v>
      </c>
      <c r="X93" s="12">
        <v>0</v>
      </c>
      <c r="Y93" s="10">
        <v>0</v>
      </c>
    </row>
    <row r="94" spans="1:25" x14ac:dyDescent="0.3">
      <c r="A94" s="9" t="s">
        <v>131</v>
      </c>
      <c r="B94" s="6">
        <v>2022</v>
      </c>
      <c r="C94" s="10">
        <v>93</v>
      </c>
      <c r="D94" s="6" t="s">
        <v>284</v>
      </c>
      <c r="E94" s="6" t="s">
        <v>64</v>
      </c>
      <c r="F94" s="6" t="s">
        <v>283</v>
      </c>
      <c r="G94" s="11" t="s">
        <v>134</v>
      </c>
      <c r="H94" s="6" t="s">
        <v>135</v>
      </c>
      <c r="I94" s="6" t="s">
        <v>135</v>
      </c>
      <c r="J94" s="6" t="s">
        <v>134</v>
      </c>
      <c r="K94" s="12">
        <v>100</v>
      </c>
      <c r="L94" s="12">
        <v>27</v>
      </c>
      <c r="M94" s="10">
        <v>141</v>
      </c>
      <c r="N94" s="12">
        <v>0</v>
      </c>
      <c r="O94" s="12">
        <v>0</v>
      </c>
      <c r="P94" s="10">
        <v>0</v>
      </c>
      <c r="Q94" s="12">
        <v>0</v>
      </c>
      <c r="R94" s="12">
        <v>0</v>
      </c>
      <c r="S94" s="10">
        <v>0</v>
      </c>
      <c r="T94" s="12">
        <v>0</v>
      </c>
      <c r="U94" s="12">
        <v>0</v>
      </c>
      <c r="V94" s="10">
        <v>0</v>
      </c>
      <c r="W94" s="12">
        <v>0</v>
      </c>
      <c r="X94" s="12">
        <v>0</v>
      </c>
      <c r="Y94" s="10">
        <v>0</v>
      </c>
    </row>
    <row r="95" spans="1:25" x14ac:dyDescent="0.3">
      <c r="A95" s="9" t="s">
        <v>131</v>
      </c>
      <c r="B95" s="6">
        <v>2022</v>
      </c>
      <c r="C95" s="10">
        <v>94</v>
      </c>
      <c r="D95" s="6" t="s">
        <v>285</v>
      </c>
      <c r="E95" s="6" t="s">
        <v>64</v>
      </c>
      <c r="F95" s="6" t="s">
        <v>134</v>
      </c>
      <c r="G95" s="13" t="s">
        <v>286</v>
      </c>
      <c r="H95" s="6" t="s">
        <v>135</v>
      </c>
      <c r="I95" s="6" t="s">
        <v>135</v>
      </c>
      <c r="J95" s="6" t="s">
        <v>134</v>
      </c>
      <c r="K95" s="12">
        <v>0</v>
      </c>
      <c r="L95" s="12">
        <v>0</v>
      </c>
      <c r="M95" s="10">
        <v>0</v>
      </c>
      <c r="N95" s="12">
        <v>0</v>
      </c>
      <c r="O95" s="12">
        <v>0</v>
      </c>
      <c r="P95" s="10">
        <v>0</v>
      </c>
      <c r="Q95" s="12">
        <v>0</v>
      </c>
      <c r="R95" s="12">
        <v>0</v>
      </c>
      <c r="S95" s="10">
        <v>0</v>
      </c>
      <c r="T95" s="12">
        <v>0</v>
      </c>
      <c r="U95" s="12">
        <v>0</v>
      </c>
      <c r="V95" s="10">
        <v>0</v>
      </c>
      <c r="W95" s="12">
        <v>0</v>
      </c>
      <c r="X95" s="12">
        <v>0</v>
      </c>
      <c r="Y95" s="10">
        <v>0</v>
      </c>
    </row>
    <row r="96" spans="1:25" x14ac:dyDescent="0.3">
      <c r="A96" s="9" t="s">
        <v>131</v>
      </c>
      <c r="B96" s="6">
        <v>2022</v>
      </c>
      <c r="C96" s="10">
        <v>95</v>
      </c>
      <c r="D96" s="6" t="s">
        <v>287</v>
      </c>
      <c r="E96" s="6" t="s">
        <v>64</v>
      </c>
      <c r="F96" s="6" t="s">
        <v>134</v>
      </c>
      <c r="G96" s="13" t="s">
        <v>288</v>
      </c>
      <c r="H96" s="6" t="s">
        <v>135</v>
      </c>
      <c r="I96" s="6" t="s">
        <v>135</v>
      </c>
      <c r="J96" s="6" t="s">
        <v>134</v>
      </c>
      <c r="K96" s="12">
        <v>0</v>
      </c>
      <c r="L96" s="12">
        <v>0</v>
      </c>
      <c r="M96" s="10">
        <v>0</v>
      </c>
      <c r="N96" s="12">
        <v>0</v>
      </c>
      <c r="O96" s="12">
        <v>0</v>
      </c>
      <c r="P96" s="10">
        <v>0</v>
      </c>
      <c r="Q96" s="12">
        <v>0</v>
      </c>
      <c r="R96" s="12">
        <v>0</v>
      </c>
      <c r="S96" s="10">
        <v>0</v>
      </c>
      <c r="T96" s="12">
        <v>0</v>
      </c>
      <c r="U96" s="12">
        <v>0</v>
      </c>
      <c r="V96" s="10">
        <v>0</v>
      </c>
      <c r="W96" s="12">
        <v>0</v>
      </c>
      <c r="X96" s="12">
        <v>0</v>
      </c>
      <c r="Y96" s="10">
        <v>0</v>
      </c>
    </row>
    <row r="97" spans="1:25" x14ac:dyDescent="0.3">
      <c r="A97" s="9" t="s">
        <v>131</v>
      </c>
      <c r="B97" s="6">
        <v>2022</v>
      </c>
      <c r="C97" s="10">
        <v>96</v>
      </c>
      <c r="D97" s="6" t="s">
        <v>289</v>
      </c>
      <c r="E97" s="6" t="s">
        <v>64</v>
      </c>
      <c r="F97" s="6" t="s">
        <v>290</v>
      </c>
      <c r="G97" s="11" t="s">
        <v>134</v>
      </c>
      <c r="H97" s="6" t="s">
        <v>135</v>
      </c>
      <c r="I97" s="6" t="s">
        <v>135</v>
      </c>
      <c r="J97" s="6" t="s">
        <v>134</v>
      </c>
      <c r="K97" s="12">
        <v>100</v>
      </c>
      <c r="L97" s="12">
        <v>27</v>
      </c>
      <c r="M97" s="10">
        <v>141</v>
      </c>
      <c r="N97" s="12">
        <v>0</v>
      </c>
      <c r="O97" s="12">
        <v>0</v>
      </c>
      <c r="P97" s="10">
        <v>0</v>
      </c>
      <c r="Q97" s="12">
        <v>0</v>
      </c>
      <c r="R97" s="12">
        <v>0</v>
      </c>
      <c r="S97" s="10">
        <v>0</v>
      </c>
      <c r="T97" s="12">
        <v>0</v>
      </c>
      <c r="U97" s="12">
        <v>0</v>
      </c>
      <c r="V97" s="10">
        <v>0</v>
      </c>
      <c r="W97" s="12">
        <v>0</v>
      </c>
      <c r="X97" s="12">
        <v>0</v>
      </c>
      <c r="Y97" s="10">
        <v>0</v>
      </c>
    </row>
    <row r="98" spans="1:25" x14ac:dyDescent="0.3">
      <c r="A98" s="9" t="s">
        <v>131</v>
      </c>
      <c r="B98" s="6">
        <v>2022</v>
      </c>
      <c r="C98" s="10">
        <v>97</v>
      </c>
      <c r="D98" s="6" t="s">
        <v>291</v>
      </c>
      <c r="E98" s="6" t="s">
        <v>64</v>
      </c>
      <c r="F98" s="6" t="s">
        <v>290</v>
      </c>
      <c r="G98" s="11" t="s">
        <v>134</v>
      </c>
      <c r="H98" s="6" t="s">
        <v>135</v>
      </c>
      <c r="I98" s="6" t="s">
        <v>135</v>
      </c>
      <c r="J98" s="6" t="s">
        <v>134</v>
      </c>
      <c r="K98" s="12">
        <v>100</v>
      </c>
      <c r="L98" s="12">
        <v>27</v>
      </c>
      <c r="M98" s="10">
        <v>141</v>
      </c>
      <c r="N98" s="12">
        <v>0</v>
      </c>
      <c r="O98" s="12">
        <v>0</v>
      </c>
      <c r="P98" s="10">
        <v>0</v>
      </c>
      <c r="Q98" s="12">
        <v>0</v>
      </c>
      <c r="R98" s="12">
        <v>0</v>
      </c>
      <c r="S98" s="10">
        <v>0</v>
      </c>
      <c r="T98" s="12">
        <v>0</v>
      </c>
      <c r="U98" s="12">
        <v>0</v>
      </c>
      <c r="V98" s="10">
        <v>0</v>
      </c>
      <c r="W98" s="12">
        <v>0</v>
      </c>
      <c r="X98" s="12">
        <v>0</v>
      </c>
      <c r="Y98" s="10">
        <v>0</v>
      </c>
    </row>
    <row r="99" spans="1:25" x14ac:dyDescent="0.3">
      <c r="A99" s="9" t="s">
        <v>131</v>
      </c>
      <c r="B99" s="6">
        <v>2022</v>
      </c>
      <c r="C99" s="10">
        <v>98</v>
      </c>
      <c r="D99" s="6" t="s">
        <v>292</v>
      </c>
      <c r="E99" s="6" t="s">
        <v>64</v>
      </c>
      <c r="F99" s="6" t="s">
        <v>290</v>
      </c>
      <c r="G99" s="11" t="s">
        <v>134</v>
      </c>
      <c r="H99" s="6" t="s">
        <v>135</v>
      </c>
      <c r="I99" s="6" t="s">
        <v>135</v>
      </c>
      <c r="J99" s="6" t="s">
        <v>134</v>
      </c>
      <c r="K99" s="12">
        <v>100</v>
      </c>
      <c r="L99" s="12">
        <v>5</v>
      </c>
      <c r="M99" s="10">
        <v>141</v>
      </c>
      <c r="N99" s="12">
        <v>0</v>
      </c>
      <c r="O99" s="12">
        <v>0</v>
      </c>
      <c r="P99" s="10">
        <v>0</v>
      </c>
      <c r="Q99" s="12">
        <v>0</v>
      </c>
      <c r="R99" s="12">
        <v>0</v>
      </c>
      <c r="S99" s="10">
        <v>0</v>
      </c>
      <c r="T99" s="12">
        <v>0</v>
      </c>
      <c r="U99" s="12">
        <v>0</v>
      </c>
      <c r="V99" s="10">
        <v>0</v>
      </c>
      <c r="W99" s="12">
        <v>0</v>
      </c>
      <c r="X99" s="12">
        <v>0</v>
      </c>
      <c r="Y99" s="10">
        <v>0</v>
      </c>
    </row>
    <row r="100" spans="1:25" x14ac:dyDescent="0.3">
      <c r="A100" s="9" t="s">
        <v>131</v>
      </c>
      <c r="B100" s="6">
        <v>2022</v>
      </c>
      <c r="C100" s="10">
        <v>99</v>
      </c>
      <c r="D100" s="6" t="s">
        <v>293</v>
      </c>
      <c r="E100" s="6" t="s">
        <v>64</v>
      </c>
      <c r="F100" s="6" t="s">
        <v>290</v>
      </c>
      <c r="G100" s="11" t="s">
        <v>134</v>
      </c>
      <c r="H100" s="6" t="s">
        <v>135</v>
      </c>
      <c r="I100" s="6" t="s">
        <v>135</v>
      </c>
      <c r="J100" s="6" t="s">
        <v>134</v>
      </c>
      <c r="K100" s="12">
        <v>100</v>
      </c>
      <c r="L100" s="12">
        <v>27</v>
      </c>
      <c r="M100" s="10">
        <v>141</v>
      </c>
      <c r="N100" s="12">
        <v>0</v>
      </c>
      <c r="O100" s="12">
        <v>0</v>
      </c>
      <c r="P100" s="10">
        <v>0</v>
      </c>
      <c r="Q100" s="12">
        <v>0</v>
      </c>
      <c r="R100" s="12">
        <v>0</v>
      </c>
      <c r="S100" s="10">
        <v>0</v>
      </c>
      <c r="T100" s="12">
        <v>0</v>
      </c>
      <c r="U100" s="12">
        <v>0</v>
      </c>
      <c r="V100" s="10">
        <v>0</v>
      </c>
      <c r="W100" s="12">
        <v>0</v>
      </c>
      <c r="X100" s="12">
        <v>0</v>
      </c>
      <c r="Y100" s="10">
        <v>0</v>
      </c>
    </row>
    <row r="101" spans="1:25" x14ac:dyDescent="0.3">
      <c r="A101" s="9" t="s">
        <v>131</v>
      </c>
      <c r="B101" s="6">
        <v>2022</v>
      </c>
      <c r="C101" s="10">
        <v>100</v>
      </c>
      <c r="D101" s="6" t="s">
        <v>294</v>
      </c>
      <c r="E101" s="6" t="s">
        <v>64</v>
      </c>
      <c r="F101" s="6" t="s">
        <v>290</v>
      </c>
      <c r="G101" s="11" t="s">
        <v>134</v>
      </c>
      <c r="H101" s="6" t="s">
        <v>135</v>
      </c>
      <c r="I101" s="6" t="s">
        <v>135</v>
      </c>
      <c r="J101" s="6" t="s">
        <v>134</v>
      </c>
      <c r="K101" s="12">
        <v>0</v>
      </c>
      <c r="L101" s="12">
        <v>0</v>
      </c>
      <c r="M101" s="10">
        <v>0</v>
      </c>
      <c r="N101" s="12">
        <v>0</v>
      </c>
      <c r="O101" s="12">
        <v>0</v>
      </c>
      <c r="P101" s="10">
        <v>0</v>
      </c>
      <c r="Q101" s="12">
        <v>0</v>
      </c>
      <c r="R101" s="12">
        <v>0</v>
      </c>
      <c r="S101" s="10">
        <v>0</v>
      </c>
      <c r="T101" s="12">
        <v>0</v>
      </c>
      <c r="U101" s="12">
        <v>0</v>
      </c>
      <c r="V101" s="10">
        <v>0</v>
      </c>
      <c r="W101" s="12">
        <v>0</v>
      </c>
      <c r="X101" s="12">
        <v>0</v>
      </c>
      <c r="Y101" s="10">
        <v>0</v>
      </c>
    </row>
    <row r="102" spans="1:25" x14ac:dyDescent="0.3">
      <c r="A102" s="9" t="s">
        <v>131</v>
      </c>
      <c r="B102" s="6">
        <v>2022</v>
      </c>
      <c r="C102" s="10">
        <v>101</v>
      </c>
      <c r="D102" s="6" t="s">
        <v>295</v>
      </c>
      <c r="E102" s="6" t="s">
        <v>64</v>
      </c>
      <c r="F102" s="6" t="s">
        <v>134</v>
      </c>
      <c r="G102" s="13" t="s">
        <v>296</v>
      </c>
      <c r="H102" s="6" t="s">
        <v>135</v>
      </c>
      <c r="I102" s="6" t="s">
        <v>135</v>
      </c>
      <c r="J102" s="6" t="s">
        <v>134</v>
      </c>
      <c r="K102" s="12">
        <v>0</v>
      </c>
      <c r="L102" s="12">
        <v>0</v>
      </c>
      <c r="M102" s="10">
        <v>0</v>
      </c>
      <c r="N102" s="12">
        <v>0</v>
      </c>
      <c r="O102" s="12">
        <v>0</v>
      </c>
      <c r="P102" s="10">
        <v>0</v>
      </c>
      <c r="Q102" s="12">
        <v>0</v>
      </c>
      <c r="R102" s="12">
        <v>0</v>
      </c>
      <c r="S102" s="10">
        <v>0</v>
      </c>
      <c r="T102" s="12">
        <v>0</v>
      </c>
      <c r="U102" s="12">
        <v>0</v>
      </c>
      <c r="V102" s="10">
        <v>0</v>
      </c>
      <c r="W102" s="12">
        <v>0</v>
      </c>
      <c r="X102" s="12">
        <v>0</v>
      </c>
      <c r="Y102" s="10">
        <v>0</v>
      </c>
    </row>
    <row r="103" spans="1:25" x14ac:dyDescent="0.3">
      <c r="A103" s="9" t="s">
        <v>131</v>
      </c>
      <c r="B103" s="6">
        <v>2022</v>
      </c>
      <c r="C103" s="10">
        <v>102</v>
      </c>
      <c r="D103" s="6" t="s">
        <v>297</v>
      </c>
      <c r="E103" s="6" t="s">
        <v>64</v>
      </c>
      <c r="F103" s="6" t="s">
        <v>298</v>
      </c>
      <c r="G103" s="11" t="s">
        <v>134</v>
      </c>
      <c r="H103" s="6" t="s">
        <v>135</v>
      </c>
      <c r="I103" s="6" t="s">
        <v>135</v>
      </c>
      <c r="J103" s="6" t="s">
        <v>134</v>
      </c>
      <c r="K103" s="12">
        <v>100</v>
      </c>
      <c r="L103" s="12">
        <v>27</v>
      </c>
      <c r="M103" s="10">
        <v>141</v>
      </c>
      <c r="N103" s="12">
        <v>0</v>
      </c>
      <c r="O103" s="12">
        <v>0</v>
      </c>
      <c r="P103" s="10">
        <v>0</v>
      </c>
      <c r="Q103" s="12">
        <v>0</v>
      </c>
      <c r="R103" s="12">
        <v>0</v>
      </c>
      <c r="S103" s="10">
        <v>0</v>
      </c>
      <c r="T103" s="12">
        <v>0</v>
      </c>
      <c r="U103" s="12">
        <v>0</v>
      </c>
      <c r="V103" s="10">
        <v>0</v>
      </c>
      <c r="W103" s="12">
        <v>0</v>
      </c>
      <c r="X103" s="12">
        <v>0</v>
      </c>
      <c r="Y103" s="10">
        <v>0</v>
      </c>
    </row>
    <row r="104" spans="1:25" x14ac:dyDescent="0.3">
      <c r="A104" s="9" t="s">
        <v>131</v>
      </c>
      <c r="B104" s="6">
        <v>2022</v>
      </c>
      <c r="C104" s="10">
        <v>103</v>
      </c>
      <c r="D104" s="6" t="s">
        <v>299</v>
      </c>
      <c r="E104" s="6" t="s">
        <v>64</v>
      </c>
      <c r="F104" s="6" t="s">
        <v>134</v>
      </c>
      <c r="G104" s="13" t="s">
        <v>1684</v>
      </c>
      <c r="H104" s="6" t="s">
        <v>135</v>
      </c>
      <c r="I104" s="6" t="s">
        <v>135</v>
      </c>
      <c r="J104" s="6" t="s">
        <v>134</v>
      </c>
      <c r="K104" s="12">
        <v>0</v>
      </c>
      <c r="L104" s="12">
        <v>0</v>
      </c>
      <c r="M104" s="10">
        <v>0</v>
      </c>
      <c r="N104" s="12">
        <v>0</v>
      </c>
      <c r="O104" s="12">
        <v>0</v>
      </c>
      <c r="P104" s="10">
        <v>0</v>
      </c>
      <c r="Q104" s="12">
        <v>0</v>
      </c>
      <c r="R104" s="12">
        <v>0</v>
      </c>
      <c r="S104" s="10">
        <v>0</v>
      </c>
      <c r="T104" s="12">
        <v>0</v>
      </c>
      <c r="U104" s="12">
        <v>0</v>
      </c>
      <c r="V104" s="10">
        <v>0</v>
      </c>
      <c r="W104" s="12">
        <v>0</v>
      </c>
      <c r="X104" s="12">
        <v>0</v>
      </c>
      <c r="Y104" s="10">
        <v>0</v>
      </c>
    </row>
    <row r="105" spans="1:25" x14ac:dyDescent="0.3">
      <c r="A105" s="9" t="s">
        <v>131</v>
      </c>
      <c r="B105" s="6">
        <v>2022</v>
      </c>
      <c r="C105" s="10">
        <v>104</v>
      </c>
      <c r="D105" s="6" t="s">
        <v>300</v>
      </c>
      <c r="E105" s="6" t="s">
        <v>64</v>
      </c>
      <c r="F105" s="6" t="s">
        <v>301</v>
      </c>
      <c r="G105" s="11" t="s">
        <v>134</v>
      </c>
      <c r="H105" s="6" t="s">
        <v>135</v>
      </c>
      <c r="I105" s="6" t="s">
        <v>135</v>
      </c>
      <c r="J105" s="6" t="s">
        <v>134</v>
      </c>
      <c r="K105" s="12">
        <v>100</v>
      </c>
      <c r="L105" s="12">
        <v>27</v>
      </c>
      <c r="M105" s="10">
        <v>141</v>
      </c>
      <c r="N105" s="12">
        <v>0</v>
      </c>
      <c r="O105" s="12">
        <v>0</v>
      </c>
      <c r="P105" s="10">
        <v>0</v>
      </c>
      <c r="Q105" s="12">
        <v>0</v>
      </c>
      <c r="R105" s="12">
        <v>0</v>
      </c>
      <c r="S105" s="10">
        <v>0</v>
      </c>
      <c r="T105" s="12">
        <v>0</v>
      </c>
      <c r="U105" s="12">
        <v>0</v>
      </c>
      <c r="V105" s="10">
        <v>0</v>
      </c>
      <c r="W105" s="12">
        <v>0</v>
      </c>
      <c r="X105" s="12">
        <v>0</v>
      </c>
      <c r="Y105" s="10">
        <v>0</v>
      </c>
    </row>
    <row r="106" spans="1:25" x14ac:dyDescent="0.3">
      <c r="A106" s="9" t="s">
        <v>131</v>
      </c>
      <c r="B106" s="6">
        <v>2022</v>
      </c>
      <c r="C106" s="10">
        <v>105</v>
      </c>
      <c r="D106" s="6" t="s">
        <v>302</v>
      </c>
      <c r="E106" s="6" t="s">
        <v>64</v>
      </c>
      <c r="F106" s="6" t="s">
        <v>303</v>
      </c>
      <c r="G106" s="11" t="s">
        <v>134</v>
      </c>
      <c r="H106" s="6" t="s">
        <v>135</v>
      </c>
      <c r="I106" s="6" t="s">
        <v>135</v>
      </c>
      <c r="J106" s="6" t="s">
        <v>134</v>
      </c>
      <c r="K106" s="12">
        <v>100</v>
      </c>
      <c r="L106" s="12">
        <v>27</v>
      </c>
      <c r="M106" s="10">
        <v>141</v>
      </c>
      <c r="N106" s="12">
        <v>0</v>
      </c>
      <c r="O106" s="12">
        <v>0</v>
      </c>
      <c r="P106" s="10">
        <v>0</v>
      </c>
      <c r="Q106" s="12">
        <v>0</v>
      </c>
      <c r="R106" s="12">
        <v>0</v>
      </c>
      <c r="S106" s="10">
        <v>0</v>
      </c>
      <c r="T106" s="12">
        <v>0</v>
      </c>
      <c r="U106" s="12">
        <v>0</v>
      </c>
      <c r="V106" s="10">
        <v>0</v>
      </c>
      <c r="W106" s="12">
        <v>0</v>
      </c>
      <c r="X106" s="12">
        <v>0</v>
      </c>
      <c r="Y106" s="10">
        <v>0</v>
      </c>
    </row>
    <row r="107" spans="1:25" x14ac:dyDescent="0.3">
      <c r="A107" s="9" t="s">
        <v>131</v>
      </c>
      <c r="B107" s="6">
        <v>2022</v>
      </c>
      <c r="C107" s="10">
        <v>106</v>
      </c>
      <c r="D107" s="6" t="s">
        <v>304</v>
      </c>
      <c r="E107" s="6" t="s">
        <v>64</v>
      </c>
      <c r="F107" s="6" t="s">
        <v>303</v>
      </c>
      <c r="G107" s="11" t="s">
        <v>134</v>
      </c>
      <c r="H107" s="6" t="s">
        <v>135</v>
      </c>
      <c r="I107" s="6" t="s">
        <v>135</v>
      </c>
      <c r="J107" s="6" t="s">
        <v>134</v>
      </c>
      <c r="K107" s="12">
        <v>0</v>
      </c>
      <c r="L107" s="12">
        <v>0</v>
      </c>
      <c r="M107" s="10">
        <v>0</v>
      </c>
      <c r="N107" s="12">
        <v>0</v>
      </c>
      <c r="O107" s="12">
        <v>0</v>
      </c>
      <c r="P107" s="10">
        <v>0</v>
      </c>
      <c r="Q107" s="12">
        <v>0</v>
      </c>
      <c r="R107" s="12">
        <v>0</v>
      </c>
      <c r="S107" s="10">
        <v>0</v>
      </c>
      <c r="T107" s="12">
        <v>0</v>
      </c>
      <c r="U107" s="12">
        <v>0</v>
      </c>
      <c r="V107" s="10">
        <v>0</v>
      </c>
      <c r="W107" s="12">
        <v>0</v>
      </c>
      <c r="X107" s="12">
        <v>0</v>
      </c>
      <c r="Y107" s="10">
        <v>0</v>
      </c>
    </row>
    <row r="108" spans="1:25" x14ac:dyDescent="0.3">
      <c r="A108" s="9" t="s">
        <v>131</v>
      </c>
      <c r="B108" s="6">
        <v>2022</v>
      </c>
      <c r="C108" s="10">
        <v>107</v>
      </c>
      <c r="D108" s="6" t="s">
        <v>305</v>
      </c>
      <c r="E108" s="6" t="s">
        <v>64</v>
      </c>
      <c r="F108" s="6" t="s">
        <v>134</v>
      </c>
      <c r="G108" s="13" t="s">
        <v>306</v>
      </c>
      <c r="H108" s="6" t="s">
        <v>135</v>
      </c>
      <c r="I108" s="6" t="s">
        <v>135</v>
      </c>
      <c r="J108" s="6" t="s">
        <v>134</v>
      </c>
      <c r="K108" s="12">
        <v>0</v>
      </c>
      <c r="L108" s="12">
        <v>0</v>
      </c>
      <c r="M108" s="10">
        <v>0</v>
      </c>
      <c r="N108" s="12">
        <v>0</v>
      </c>
      <c r="O108" s="12">
        <v>0</v>
      </c>
      <c r="P108" s="10">
        <v>0</v>
      </c>
      <c r="Q108" s="12">
        <v>0</v>
      </c>
      <c r="R108" s="12">
        <v>0</v>
      </c>
      <c r="S108" s="10">
        <v>0</v>
      </c>
      <c r="T108" s="12">
        <v>0</v>
      </c>
      <c r="U108" s="12">
        <v>0</v>
      </c>
      <c r="V108" s="10">
        <v>0</v>
      </c>
      <c r="W108" s="12">
        <v>0</v>
      </c>
      <c r="X108" s="12">
        <v>0</v>
      </c>
      <c r="Y108" s="10">
        <v>0</v>
      </c>
    </row>
    <row r="109" spans="1:25" x14ac:dyDescent="0.3">
      <c r="A109" s="9" t="s">
        <v>131</v>
      </c>
      <c r="B109" s="6">
        <v>2022</v>
      </c>
      <c r="C109" s="10">
        <v>108</v>
      </c>
      <c r="D109" s="6" t="s">
        <v>307</v>
      </c>
      <c r="E109" s="6" t="s">
        <v>64</v>
      </c>
      <c r="F109" s="6" t="s">
        <v>308</v>
      </c>
      <c r="G109" s="11" t="s">
        <v>134</v>
      </c>
      <c r="H109" s="6" t="s">
        <v>135</v>
      </c>
      <c r="I109" s="6" t="s">
        <v>135</v>
      </c>
      <c r="J109" s="6" t="s">
        <v>134</v>
      </c>
      <c r="K109" s="12">
        <v>100</v>
      </c>
      <c r="L109" s="12">
        <v>27</v>
      </c>
      <c r="M109" s="10">
        <v>141</v>
      </c>
      <c r="N109" s="12">
        <v>0</v>
      </c>
      <c r="O109" s="12">
        <v>0</v>
      </c>
      <c r="P109" s="10">
        <v>0</v>
      </c>
      <c r="Q109" s="12">
        <v>0</v>
      </c>
      <c r="R109" s="12">
        <v>0</v>
      </c>
      <c r="S109" s="10">
        <v>0</v>
      </c>
      <c r="T109" s="12">
        <v>0</v>
      </c>
      <c r="U109" s="12">
        <v>0</v>
      </c>
      <c r="V109" s="10">
        <v>0</v>
      </c>
      <c r="W109" s="12">
        <v>0</v>
      </c>
      <c r="X109" s="12">
        <v>0</v>
      </c>
      <c r="Y109" s="10">
        <v>0</v>
      </c>
    </row>
    <row r="110" spans="1:25" x14ac:dyDescent="0.3">
      <c r="A110" s="9" t="s">
        <v>131</v>
      </c>
      <c r="B110" s="6">
        <v>2022</v>
      </c>
      <c r="C110" s="10">
        <v>109</v>
      </c>
      <c r="D110" s="6" t="s">
        <v>309</v>
      </c>
      <c r="E110" s="6" t="s">
        <v>64</v>
      </c>
      <c r="F110" s="6" t="s">
        <v>308</v>
      </c>
      <c r="G110" s="11" t="s">
        <v>134</v>
      </c>
      <c r="H110" s="6" t="s">
        <v>135</v>
      </c>
      <c r="I110" s="6" t="s">
        <v>135</v>
      </c>
      <c r="J110" s="6" t="s">
        <v>134</v>
      </c>
      <c r="K110" s="12">
        <v>100</v>
      </c>
      <c r="L110" s="12">
        <v>27</v>
      </c>
      <c r="M110" s="10">
        <v>141</v>
      </c>
      <c r="N110" s="12">
        <v>0</v>
      </c>
      <c r="O110" s="12">
        <v>0</v>
      </c>
      <c r="P110" s="10">
        <v>0</v>
      </c>
      <c r="Q110" s="12">
        <v>0</v>
      </c>
      <c r="R110" s="12">
        <v>0</v>
      </c>
      <c r="S110" s="10">
        <v>0</v>
      </c>
      <c r="T110" s="12">
        <v>0</v>
      </c>
      <c r="U110" s="12">
        <v>0</v>
      </c>
      <c r="V110" s="10">
        <v>0</v>
      </c>
      <c r="W110" s="12">
        <v>0</v>
      </c>
      <c r="X110" s="12">
        <v>0</v>
      </c>
      <c r="Y110" s="10">
        <v>0</v>
      </c>
    </row>
    <row r="111" spans="1:25" x14ac:dyDescent="0.3">
      <c r="A111" s="9" t="s">
        <v>131</v>
      </c>
      <c r="B111" s="6">
        <v>2022</v>
      </c>
      <c r="C111" s="10">
        <v>110</v>
      </c>
      <c r="D111" s="6" t="s">
        <v>310</v>
      </c>
      <c r="E111" s="6" t="s">
        <v>64</v>
      </c>
      <c r="F111" s="6" t="s">
        <v>308</v>
      </c>
      <c r="G111" s="11" t="s">
        <v>134</v>
      </c>
      <c r="H111" s="6" t="s">
        <v>135</v>
      </c>
      <c r="I111" s="6" t="s">
        <v>135</v>
      </c>
      <c r="J111" s="6" t="s">
        <v>134</v>
      </c>
      <c r="K111" s="12">
        <v>100</v>
      </c>
      <c r="L111" s="12">
        <v>27</v>
      </c>
      <c r="M111" s="10">
        <v>141</v>
      </c>
      <c r="N111" s="12">
        <v>0</v>
      </c>
      <c r="O111" s="12">
        <v>0</v>
      </c>
      <c r="P111" s="10">
        <v>0</v>
      </c>
      <c r="Q111" s="12">
        <v>0</v>
      </c>
      <c r="R111" s="12">
        <v>0</v>
      </c>
      <c r="S111" s="10">
        <v>0</v>
      </c>
      <c r="T111" s="12">
        <v>0</v>
      </c>
      <c r="U111" s="12">
        <v>0</v>
      </c>
      <c r="V111" s="10">
        <v>0</v>
      </c>
      <c r="W111" s="12">
        <v>0</v>
      </c>
      <c r="X111" s="12">
        <v>0</v>
      </c>
      <c r="Y111" s="10">
        <v>0</v>
      </c>
    </row>
    <row r="112" spans="1:25" x14ac:dyDescent="0.3">
      <c r="A112" s="9" t="s">
        <v>131</v>
      </c>
      <c r="B112" s="6">
        <v>2022</v>
      </c>
      <c r="C112" s="10">
        <v>111</v>
      </c>
      <c r="D112" s="6" t="s">
        <v>311</v>
      </c>
      <c r="E112" s="6" t="s">
        <v>64</v>
      </c>
      <c r="F112" s="6" t="s">
        <v>134</v>
      </c>
      <c r="G112" s="13" t="s">
        <v>312</v>
      </c>
      <c r="H112" s="6" t="s">
        <v>135</v>
      </c>
      <c r="I112" s="6" t="s">
        <v>135</v>
      </c>
      <c r="J112" s="6" t="s">
        <v>134</v>
      </c>
      <c r="K112" s="12">
        <v>0</v>
      </c>
      <c r="L112" s="12">
        <v>0</v>
      </c>
      <c r="M112" s="10">
        <v>0</v>
      </c>
      <c r="N112" s="12">
        <v>0</v>
      </c>
      <c r="O112" s="12">
        <v>0</v>
      </c>
      <c r="P112" s="10">
        <v>0</v>
      </c>
      <c r="Q112" s="12">
        <v>0</v>
      </c>
      <c r="R112" s="12">
        <v>0</v>
      </c>
      <c r="S112" s="10">
        <v>0</v>
      </c>
      <c r="T112" s="12">
        <v>0</v>
      </c>
      <c r="U112" s="12">
        <v>0</v>
      </c>
      <c r="V112" s="10">
        <v>0</v>
      </c>
      <c r="W112" s="12">
        <v>0</v>
      </c>
      <c r="X112" s="12">
        <v>0</v>
      </c>
      <c r="Y112" s="10">
        <v>0</v>
      </c>
    </row>
    <row r="113" spans="1:25" x14ac:dyDescent="0.3">
      <c r="A113" s="9" t="s">
        <v>131</v>
      </c>
      <c r="B113" s="6">
        <v>2022</v>
      </c>
      <c r="C113" s="10">
        <v>112</v>
      </c>
      <c r="D113" s="6" t="s">
        <v>313</v>
      </c>
      <c r="E113" s="6" t="s">
        <v>64</v>
      </c>
      <c r="F113" s="6" t="s">
        <v>314</v>
      </c>
      <c r="G113" s="11" t="s">
        <v>134</v>
      </c>
      <c r="H113" s="6" t="s">
        <v>135</v>
      </c>
      <c r="I113" s="6" t="s">
        <v>135</v>
      </c>
      <c r="J113" s="6" t="s">
        <v>134</v>
      </c>
      <c r="K113" s="12">
        <v>100</v>
      </c>
      <c r="L113" s="12">
        <v>27</v>
      </c>
      <c r="M113" s="10">
        <v>141</v>
      </c>
      <c r="N113" s="12">
        <v>0</v>
      </c>
      <c r="O113" s="12">
        <v>0</v>
      </c>
      <c r="P113" s="10">
        <v>0</v>
      </c>
      <c r="Q113" s="12">
        <v>0</v>
      </c>
      <c r="R113" s="12">
        <v>0</v>
      </c>
      <c r="S113" s="10">
        <v>0</v>
      </c>
      <c r="T113" s="12">
        <v>0</v>
      </c>
      <c r="U113" s="12">
        <v>0</v>
      </c>
      <c r="V113" s="10">
        <v>0</v>
      </c>
      <c r="W113" s="12">
        <v>0</v>
      </c>
      <c r="X113" s="12">
        <v>0</v>
      </c>
      <c r="Y113" s="10">
        <v>0</v>
      </c>
    </row>
    <row r="114" spans="1:25" x14ac:dyDescent="0.3">
      <c r="A114" s="9" t="s">
        <v>131</v>
      </c>
      <c r="B114" s="6">
        <v>2022</v>
      </c>
      <c r="C114" s="10">
        <v>113</v>
      </c>
      <c r="D114" s="6" t="s">
        <v>315</v>
      </c>
      <c r="E114" s="6" t="s">
        <v>64</v>
      </c>
      <c r="F114" s="6" t="s">
        <v>316</v>
      </c>
      <c r="G114" s="11" t="s">
        <v>134</v>
      </c>
      <c r="H114" s="6" t="s">
        <v>135</v>
      </c>
      <c r="I114" s="6" t="s">
        <v>135</v>
      </c>
      <c r="J114" s="6" t="s">
        <v>134</v>
      </c>
      <c r="K114" s="12">
        <v>100</v>
      </c>
      <c r="L114" s="12">
        <v>27</v>
      </c>
      <c r="M114" s="10">
        <v>141</v>
      </c>
      <c r="N114" s="12">
        <v>0</v>
      </c>
      <c r="O114" s="12">
        <v>0</v>
      </c>
      <c r="P114" s="10">
        <v>0</v>
      </c>
      <c r="Q114" s="12">
        <v>0</v>
      </c>
      <c r="R114" s="12">
        <v>0</v>
      </c>
      <c r="S114" s="10">
        <v>0</v>
      </c>
      <c r="T114" s="12">
        <v>0</v>
      </c>
      <c r="U114" s="12">
        <v>0</v>
      </c>
      <c r="V114" s="10">
        <v>0</v>
      </c>
      <c r="W114" s="12">
        <v>0</v>
      </c>
      <c r="X114" s="12">
        <v>0</v>
      </c>
      <c r="Y114" s="10">
        <v>0</v>
      </c>
    </row>
    <row r="115" spans="1:25" x14ac:dyDescent="0.3">
      <c r="A115" s="9" t="s">
        <v>131</v>
      </c>
      <c r="B115" s="6">
        <v>2022</v>
      </c>
      <c r="C115" s="10">
        <v>114</v>
      </c>
      <c r="D115" s="6" t="s">
        <v>317</v>
      </c>
      <c r="E115" s="6" t="s">
        <v>64</v>
      </c>
      <c r="F115" s="6" t="s">
        <v>134</v>
      </c>
      <c r="G115" s="13" t="s">
        <v>318</v>
      </c>
      <c r="H115" s="6" t="s">
        <v>135</v>
      </c>
      <c r="I115" s="6" t="s">
        <v>135</v>
      </c>
      <c r="J115" s="6" t="s">
        <v>134</v>
      </c>
      <c r="K115" s="12">
        <v>0</v>
      </c>
      <c r="L115" s="12">
        <v>0</v>
      </c>
      <c r="M115" s="10">
        <v>0</v>
      </c>
      <c r="N115" s="12">
        <v>0</v>
      </c>
      <c r="O115" s="12">
        <v>0</v>
      </c>
      <c r="P115" s="10">
        <v>0</v>
      </c>
      <c r="Q115" s="12">
        <v>0</v>
      </c>
      <c r="R115" s="12">
        <v>0</v>
      </c>
      <c r="S115" s="10">
        <v>0</v>
      </c>
      <c r="T115" s="12">
        <v>0</v>
      </c>
      <c r="U115" s="12">
        <v>0</v>
      </c>
      <c r="V115" s="10">
        <v>0</v>
      </c>
      <c r="W115" s="12">
        <v>0</v>
      </c>
      <c r="X115" s="12">
        <v>0</v>
      </c>
      <c r="Y115" s="10">
        <v>0</v>
      </c>
    </row>
    <row r="116" spans="1:25" x14ac:dyDescent="0.3">
      <c r="A116" s="9" t="s">
        <v>131</v>
      </c>
      <c r="B116" s="6">
        <v>2022</v>
      </c>
      <c r="C116" s="10">
        <v>115</v>
      </c>
      <c r="D116" s="6" t="s">
        <v>319</v>
      </c>
      <c r="E116" s="6" t="s">
        <v>64</v>
      </c>
      <c r="F116" s="6" t="s">
        <v>320</v>
      </c>
      <c r="G116" s="11" t="s">
        <v>134</v>
      </c>
      <c r="H116" s="6" t="s">
        <v>135</v>
      </c>
      <c r="I116" s="6" t="s">
        <v>135</v>
      </c>
      <c r="J116" s="6" t="s">
        <v>134</v>
      </c>
      <c r="K116" s="12">
        <v>100</v>
      </c>
      <c r="L116" s="12">
        <v>27</v>
      </c>
      <c r="M116" s="10">
        <v>141</v>
      </c>
      <c r="N116" s="12">
        <v>0</v>
      </c>
      <c r="O116" s="12">
        <v>0</v>
      </c>
      <c r="P116" s="10">
        <v>0</v>
      </c>
      <c r="Q116" s="12">
        <v>0</v>
      </c>
      <c r="R116" s="12">
        <v>0</v>
      </c>
      <c r="S116" s="10">
        <v>0</v>
      </c>
      <c r="T116" s="12">
        <v>0</v>
      </c>
      <c r="U116" s="12">
        <v>0</v>
      </c>
      <c r="V116" s="10">
        <v>0</v>
      </c>
      <c r="W116" s="12">
        <v>0</v>
      </c>
      <c r="X116" s="12">
        <v>0</v>
      </c>
      <c r="Y116" s="10">
        <v>0</v>
      </c>
    </row>
    <row r="117" spans="1:25" x14ac:dyDescent="0.3">
      <c r="A117" s="9" t="s">
        <v>131</v>
      </c>
      <c r="B117" s="6">
        <v>2022</v>
      </c>
      <c r="C117" s="10">
        <v>116</v>
      </c>
      <c r="D117" s="6" t="s">
        <v>321</v>
      </c>
      <c r="E117" s="6" t="s">
        <v>64</v>
      </c>
      <c r="F117" s="6" t="s">
        <v>320</v>
      </c>
      <c r="G117" s="11" t="s">
        <v>134</v>
      </c>
      <c r="H117" s="6" t="s">
        <v>135</v>
      </c>
      <c r="I117" s="6" t="s">
        <v>135</v>
      </c>
      <c r="J117" s="6" t="s">
        <v>134</v>
      </c>
      <c r="K117" s="12">
        <v>100</v>
      </c>
      <c r="L117" s="12">
        <v>27</v>
      </c>
      <c r="M117" s="10">
        <v>141</v>
      </c>
      <c r="N117" s="12">
        <v>0</v>
      </c>
      <c r="O117" s="12">
        <v>0</v>
      </c>
      <c r="P117" s="10">
        <v>0</v>
      </c>
      <c r="Q117" s="12">
        <v>0</v>
      </c>
      <c r="R117" s="12">
        <v>0</v>
      </c>
      <c r="S117" s="10">
        <v>0</v>
      </c>
      <c r="T117" s="12">
        <v>0</v>
      </c>
      <c r="U117" s="12">
        <v>0</v>
      </c>
      <c r="V117" s="10">
        <v>0</v>
      </c>
      <c r="W117" s="12">
        <v>0</v>
      </c>
      <c r="X117" s="12">
        <v>0</v>
      </c>
      <c r="Y117" s="10">
        <v>0</v>
      </c>
    </row>
    <row r="118" spans="1:25" x14ac:dyDescent="0.3">
      <c r="A118" s="9" t="s">
        <v>131</v>
      </c>
      <c r="B118" s="6">
        <v>2022</v>
      </c>
      <c r="C118" s="325">
        <v>117</v>
      </c>
      <c r="D118" s="6" t="s">
        <v>3258</v>
      </c>
      <c r="E118" s="6" t="s">
        <v>64</v>
      </c>
      <c r="F118" s="6" t="s">
        <v>320</v>
      </c>
      <c r="G118" s="11" t="s">
        <v>134</v>
      </c>
      <c r="H118" s="6" t="s">
        <v>135</v>
      </c>
      <c r="I118" s="6" t="s">
        <v>135</v>
      </c>
      <c r="J118" s="6" t="s">
        <v>134</v>
      </c>
      <c r="K118" s="12">
        <v>0</v>
      </c>
      <c r="L118" s="12">
        <v>0</v>
      </c>
      <c r="M118" s="10">
        <v>0</v>
      </c>
      <c r="N118" s="12">
        <v>0</v>
      </c>
      <c r="O118" s="12">
        <v>0</v>
      </c>
      <c r="P118" s="10">
        <v>0</v>
      </c>
      <c r="Q118" s="12">
        <v>0</v>
      </c>
      <c r="R118" s="12">
        <v>0</v>
      </c>
      <c r="S118" s="10">
        <v>0</v>
      </c>
      <c r="T118" s="12">
        <v>0</v>
      </c>
      <c r="U118" s="12">
        <v>0</v>
      </c>
      <c r="V118" s="10">
        <v>0</v>
      </c>
      <c r="W118" s="12">
        <v>0</v>
      </c>
      <c r="X118" s="12">
        <v>0</v>
      </c>
      <c r="Y118" s="10">
        <v>0</v>
      </c>
    </row>
    <row r="119" spans="1:25" x14ac:dyDescent="0.3">
      <c r="A119" s="9" t="s">
        <v>131</v>
      </c>
      <c r="B119" s="6">
        <v>2022</v>
      </c>
      <c r="C119" s="325">
        <v>118</v>
      </c>
      <c r="D119" s="6" t="s">
        <v>3259</v>
      </c>
      <c r="E119" s="6" t="s">
        <v>64</v>
      </c>
      <c r="F119" s="6" t="s">
        <v>320</v>
      </c>
      <c r="G119" s="11" t="s">
        <v>134</v>
      </c>
      <c r="H119" s="6" t="s">
        <v>135</v>
      </c>
      <c r="I119" s="6" t="s">
        <v>135</v>
      </c>
      <c r="J119" s="6" t="s">
        <v>134</v>
      </c>
      <c r="K119" s="12">
        <v>100</v>
      </c>
      <c r="L119" s="12">
        <v>27</v>
      </c>
      <c r="M119" s="10">
        <v>141</v>
      </c>
      <c r="N119" s="12">
        <v>0</v>
      </c>
      <c r="O119" s="12">
        <v>0</v>
      </c>
      <c r="P119" s="10">
        <v>0</v>
      </c>
      <c r="Q119" s="12">
        <v>0</v>
      </c>
      <c r="R119" s="12">
        <v>0</v>
      </c>
      <c r="S119" s="10">
        <v>0</v>
      </c>
      <c r="T119" s="12">
        <v>0</v>
      </c>
      <c r="U119" s="12">
        <v>0</v>
      </c>
      <c r="V119" s="10">
        <v>0</v>
      </c>
      <c r="W119" s="12">
        <v>0</v>
      </c>
      <c r="X119" s="12">
        <v>0</v>
      </c>
      <c r="Y119" s="10">
        <v>0</v>
      </c>
    </row>
    <row r="120" spans="1:25" x14ac:dyDescent="0.3">
      <c r="A120" s="9" t="s">
        <v>131</v>
      </c>
      <c r="B120" s="6">
        <v>2022</v>
      </c>
      <c r="C120" s="10">
        <v>119</v>
      </c>
      <c r="D120" s="6" t="s">
        <v>324</v>
      </c>
      <c r="E120" s="6" t="s">
        <v>64</v>
      </c>
      <c r="F120" s="6" t="s">
        <v>320</v>
      </c>
      <c r="G120" s="11" t="s">
        <v>134</v>
      </c>
      <c r="H120" s="6" t="s">
        <v>135</v>
      </c>
      <c r="I120" s="6" t="s">
        <v>135</v>
      </c>
      <c r="J120" s="6" t="s">
        <v>134</v>
      </c>
      <c r="K120" s="12">
        <v>100</v>
      </c>
      <c r="L120" s="12">
        <v>27</v>
      </c>
      <c r="M120" s="10">
        <v>141</v>
      </c>
      <c r="N120" s="12">
        <v>0</v>
      </c>
      <c r="O120" s="12">
        <v>0</v>
      </c>
      <c r="P120" s="10">
        <v>0</v>
      </c>
      <c r="Q120" s="12">
        <v>0</v>
      </c>
      <c r="R120" s="12">
        <v>0</v>
      </c>
      <c r="S120" s="10">
        <v>0</v>
      </c>
      <c r="T120" s="12">
        <v>0</v>
      </c>
      <c r="U120" s="12">
        <v>0</v>
      </c>
      <c r="V120" s="10">
        <v>0</v>
      </c>
      <c r="W120" s="12">
        <v>0</v>
      </c>
      <c r="X120" s="12">
        <v>0</v>
      </c>
      <c r="Y120" s="10">
        <v>0</v>
      </c>
    </row>
    <row r="121" spans="1:25" x14ac:dyDescent="0.3">
      <c r="A121" s="9" t="s">
        <v>131</v>
      </c>
      <c r="B121" s="6">
        <v>2022</v>
      </c>
      <c r="C121" s="325">
        <v>120</v>
      </c>
      <c r="D121" s="6" t="s">
        <v>3260</v>
      </c>
      <c r="E121" s="6" t="s">
        <v>64</v>
      </c>
      <c r="F121" s="6" t="s">
        <v>320</v>
      </c>
      <c r="G121" s="11" t="s">
        <v>134</v>
      </c>
      <c r="H121" s="6" t="s">
        <v>135</v>
      </c>
      <c r="I121" s="6" t="s">
        <v>135</v>
      </c>
      <c r="J121" s="6" t="s">
        <v>134</v>
      </c>
      <c r="K121" s="12">
        <v>100</v>
      </c>
      <c r="L121" s="12">
        <v>27</v>
      </c>
      <c r="M121" s="10">
        <v>141</v>
      </c>
      <c r="N121" s="12">
        <v>0</v>
      </c>
      <c r="O121" s="12">
        <v>0</v>
      </c>
      <c r="P121" s="10">
        <v>0</v>
      </c>
      <c r="Q121" s="12">
        <v>0</v>
      </c>
      <c r="R121" s="12">
        <v>0</v>
      </c>
      <c r="S121" s="10">
        <v>0</v>
      </c>
      <c r="T121" s="12">
        <v>0</v>
      </c>
      <c r="U121" s="12">
        <v>0</v>
      </c>
      <c r="V121" s="10">
        <v>0</v>
      </c>
      <c r="W121" s="12">
        <v>0</v>
      </c>
      <c r="X121" s="12">
        <v>0</v>
      </c>
      <c r="Y121" s="10">
        <v>0</v>
      </c>
    </row>
    <row r="122" spans="1:25" x14ac:dyDescent="0.3">
      <c r="A122" s="9" t="s">
        <v>131</v>
      </c>
      <c r="B122" s="6">
        <v>2022</v>
      </c>
      <c r="C122" s="10">
        <v>121</v>
      </c>
      <c r="D122" s="6" t="s">
        <v>326</v>
      </c>
      <c r="E122" s="6" t="s">
        <v>64</v>
      </c>
      <c r="F122" s="6" t="s">
        <v>134</v>
      </c>
      <c r="G122" s="13" t="s">
        <v>327</v>
      </c>
      <c r="H122" s="6" t="s">
        <v>135</v>
      </c>
      <c r="I122" s="6" t="s">
        <v>135</v>
      </c>
      <c r="J122" s="6" t="s">
        <v>134</v>
      </c>
      <c r="K122" s="12">
        <v>0</v>
      </c>
      <c r="L122" s="12">
        <v>0</v>
      </c>
      <c r="M122" s="10">
        <v>0</v>
      </c>
      <c r="N122" s="12">
        <v>0</v>
      </c>
      <c r="O122" s="12">
        <v>0</v>
      </c>
      <c r="P122" s="10">
        <v>0</v>
      </c>
      <c r="Q122" s="12">
        <v>0</v>
      </c>
      <c r="R122" s="12">
        <v>0</v>
      </c>
      <c r="S122" s="10">
        <v>0</v>
      </c>
      <c r="T122" s="12">
        <v>0</v>
      </c>
      <c r="U122" s="12">
        <v>0</v>
      </c>
      <c r="V122" s="10">
        <v>0</v>
      </c>
      <c r="W122" s="12">
        <v>0</v>
      </c>
      <c r="X122" s="12">
        <v>0</v>
      </c>
      <c r="Y122" s="10">
        <v>0</v>
      </c>
    </row>
    <row r="123" spans="1:25" x14ac:dyDescent="0.3">
      <c r="A123" s="9" t="s">
        <v>131</v>
      </c>
      <c r="B123" s="6">
        <v>2022</v>
      </c>
      <c r="C123" s="10">
        <v>122</v>
      </c>
      <c r="D123" s="6" t="s">
        <v>328</v>
      </c>
      <c r="E123" s="6" t="s">
        <v>64</v>
      </c>
      <c r="F123" s="6" t="s">
        <v>329</v>
      </c>
      <c r="G123" s="11" t="s">
        <v>134</v>
      </c>
      <c r="H123" s="6" t="s">
        <v>135</v>
      </c>
      <c r="I123" s="6" t="s">
        <v>135</v>
      </c>
      <c r="J123" s="6" t="s">
        <v>134</v>
      </c>
      <c r="K123" s="12">
        <v>0</v>
      </c>
      <c r="L123" s="12">
        <v>0</v>
      </c>
      <c r="M123" s="10">
        <v>0</v>
      </c>
      <c r="N123" s="12">
        <v>0</v>
      </c>
      <c r="O123" s="12">
        <v>0</v>
      </c>
      <c r="P123" s="10">
        <v>0</v>
      </c>
      <c r="Q123" s="12">
        <v>0</v>
      </c>
      <c r="R123" s="12">
        <v>0</v>
      </c>
      <c r="S123" s="10">
        <v>0</v>
      </c>
      <c r="T123" s="12">
        <v>0</v>
      </c>
      <c r="U123" s="12">
        <v>0</v>
      </c>
      <c r="V123" s="10">
        <v>0</v>
      </c>
      <c r="W123" s="12">
        <v>0</v>
      </c>
      <c r="X123" s="12">
        <v>0</v>
      </c>
      <c r="Y123" s="10">
        <v>0</v>
      </c>
    </row>
    <row r="124" spans="1:25" x14ac:dyDescent="0.3">
      <c r="A124" s="9" t="s">
        <v>131</v>
      </c>
      <c r="B124" s="6">
        <v>2022</v>
      </c>
      <c r="C124" s="10">
        <v>123</v>
      </c>
      <c r="D124" s="6" t="s">
        <v>330</v>
      </c>
      <c r="E124" s="6" t="s">
        <v>64</v>
      </c>
      <c r="F124" s="6" t="s">
        <v>329</v>
      </c>
      <c r="G124" s="11" t="s">
        <v>134</v>
      </c>
      <c r="H124" s="6" t="s">
        <v>135</v>
      </c>
      <c r="I124" s="6" t="s">
        <v>135</v>
      </c>
      <c r="J124" s="6" t="s">
        <v>134</v>
      </c>
      <c r="K124" s="12">
        <v>100</v>
      </c>
      <c r="L124" s="12">
        <v>27</v>
      </c>
      <c r="M124" s="10">
        <v>141</v>
      </c>
      <c r="N124" s="12">
        <v>0</v>
      </c>
      <c r="O124" s="12">
        <v>0</v>
      </c>
      <c r="P124" s="10">
        <v>0</v>
      </c>
      <c r="Q124" s="12">
        <v>0</v>
      </c>
      <c r="R124" s="12">
        <v>0</v>
      </c>
      <c r="S124" s="10">
        <v>0</v>
      </c>
      <c r="T124" s="12">
        <v>0</v>
      </c>
      <c r="U124" s="12">
        <v>0</v>
      </c>
      <c r="V124" s="10">
        <v>0</v>
      </c>
      <c r="W124" s="12">
        <v>0</v>
      </c>
      <c r="X124" s="12">
        <v>0</v>
      </c>
      <c r="Y124" s="10">
        <v>0</v>
      </c>
    </row>
    <row r="125" spans="1:25" x14ac:dyDescent="0.3">
      <c r="A125" s="9" t="s">
        <v>131</v>
      </c>
      <c r="B125" s="6">
        <v>2022</v>
      </c>
      <c r="C125" s="10">
        <v>124</v>
      </c>
      <c r="D125" s="6" t="s">
        <v>331</v>
      </c>
      <c r="E125" s="6" t="s">
        <v>64</v>
      </c>
      <c r="F125" s="6" t="s">
        <v>329</v>
      </c>
      <c r="G125" s="11" t="s">
        <v>134</v>
      </c>
      <c r="H125" s="6" t="s">
        <v>135</v>
      </c>
      <c r="I125" s="6" t="s">
        <v>135</v>
      </c>
      <c r="J125" s="6" t="s">
        <v>134</v>
      </c>
      <c r="K125" s="12">
        <v>100</v>
      </c>
      <c r="L125" s="12">
        <v>27</v>
      </c>
      <c r="M125" s="10">
        <v>141</v>
      </c>
      <c r="N125" s="12">
        <v>0</v>
      </c>
      <c r="O125" s="12">
        <v>0</v>
      </c>
      <c r="P125" s="10">
        <v>0</v>
      </c>
      <c r="Q125" s="12">
        <v>0</v>
      </c>
      <c r="R125" s="12">
        <v>0</v>
      </c>
      <c r="S125" s="10">
        <v>0</v>
      </c>
      <c r="T125" s="12">
        <v>0</v>
      </c>
      <c r="U125" s="12">
        <v>0</v>
      </c>
      <c r="V125" s="10">
        <v>0</v>
      </c>
      <c r="W125" s="12">
        <v>0</v>
      </c>
      <c r="X125" s="12">
        <v>0</v>
      </c>
      <c r="Y125" s="10">
        <v>0</v>
      </c>
    </row>
    <row r="126" spans="1:25" x14ac:dyDescent="0.3">
      <c r="A126" s="9" t="s">
        <v>131</v>
      </c>
      <c r="B126" s="6">
        <v>2022</v>
      </c>
      <c r="C126" s="10">
        <v>125</v>
      </c>
      <c r="D126" s="6" t="s">
        <v>332</v>
      </c>
      <c r="E126" s="6" t="s">
        <v>64</v>
      </c>
      <c r="F126" s="6" t="s">
        <v>329</v>
      </c>
      <c r="G126" s="11" t="s">
        <v>134</v>
      </c>
      <c r="H126" s="6" t="s">
        <v>135</v>
      </c>
      <c r="I126" s="6" t="s">
        <v>135</v>
      </c>
      <c r="J126" s="6" t="s">
        <v>134</v>
      </c>
      <c r="K126" s="12">
        <v>0</v>
      </c>
      <c r="L126" s="12">
        <v>0</v>
      </c>
      <c r="M126" s="10">
        <v>0</v>
      </c>
      <c r="N126" s="12">
        <v>0</v>
      </c>
      <c r="O126" s="12">
        <v>0</v>
      </c>
      <c r="P126" s="10">
        <v>0</v>
      </c>
      <c r="Q126" s="12">
        <v>0</v>
      </c>
      <c r="R126" s="12">
        <v>0</v>
      </c>
      <c r="S126" s="10">
        <v>0</v>
      </c>
      <c r="T126" s="12">
        <v>0</v>
      </c>
      <c r="U126" s="12">
        <v>0</v>
      </c>
      <c r="V126" s="10">
        <v>0</v>
      </c>
      <c r="W126" s="12">
        <v>0</v>
      </c>
      <c r="X126" s="12">
        <v>0</v>
      </c>
      <c r="Y126" s="10">
        <v>0</v>
      </c>
    </row>
    <row r="127" spans="1:25" x14ac:dyDescent="0.3">
      <c r="A127" s="9" t="s">
        <v>131</v>
      </c>
      <c r="B127" s="6">
        <v>2022</v>
      </c>
      <c r="C127" s="10">
        <v>126</v>
      </c>
      <c r="D127" s="6" t="s">
        <v>333</v>
      </c>
      <c r="E127" s="6" t="s">
        <v>64</v>
      </c>
      <c r="F127" s="6" t="s">
        <v>329</v>
      </c>
      <c r="G127" s="11" t="s">
        <v>134</v>
      </c>
      <c r="H127" s="6" t="s">
        <v>135</v>
      </c>
      <c r="I127" s="6" t="s">
        <v>135</v>
      </c>
      <c r="J127" s="6" t="s">
        <v>134</v>
      </c>
      <c r="K127" s="12">
        <v>100</v>
      </c>
      <c r="L127" s="12">
        <v>27</v>
      </c>
      <c r="M127" s="10">
        <v>141</v>
      </c>
      <c r="N127" s="12">
        <v>0</v>
      </c>
      <c r="O127" s="12">
        <v>0</v>
      </c>
      <c r="P127" s="10">
        <v>0</v>
      </c>
      <c r="Q127" s="12">
        <v>0</v>
      </c>
      <c r="R127" s="12">
        <v>0</v>
      </c>
      <c r="S127" s="10">
        <v>0</v>
      </c>
      <c r="T127" s="12">
        <v>0</v>
      </c>
      <c r="U127" s="12">
        <v>0</v>
      </c>
      <c r="V127" s="10">
        <v>0</v>
      </c>
      <c r="W127" s="12">
        <v>0</v>
      </c>
      <c r="X127" s="12">
        <v>0</v>
      </c>
      <c r="Y127" s="10">
        <v>0</v>
      </c>
    </row>
    <row r="128" spans="1:25" x14ac:dyDescent="0.3">
      <c r="A128" s="9" t="s">
        <v>131</v>
      </c>
      <c r="B128" s="6">
        <v>2022</v>
      </c>
      <c r="C128" s="10">
        <v>127</v>
      </c>
      <c r="D128" s="6" t="s">
        <v>334</v>
      </c>
      <c r="E128" s="6" t="s">
        <v>64</v>
      </c>
      <c r="F128" s="6" t="s">
        <v>329</v>
      </c>
      <c r="G128" s="11" t="s">
        <v>134</v>
      </c>
      <c r="H128" s="6" t="s">
        <v>135</v>
      </c>
      <c r="I128" s="6" t="s">
        <v>135</v>
      </c>
      <c r="J128" s="6" t="s">
        <v>134</v>
      </c>
      <c r="K128" s="12">
        <v>100</v>
      </c>
      <c r="L128" s="12">
        <v>27</v>
      </c>
      <c r="M128" s="10">
        <v>141</v>
      </c>
      <c r="N128" s="12">
        <v>0</v>
      </c>
      <c r="O128" s="12">
        <v>0</v>
      </c>
      <c r="P128" s="10">
        <v>0</v>
      </c>
      <c r="Q128" s="12">
        <v>0</v>
      </c>
      <c r="R128" s="12">
        <v>0</v>
      </c>
      <c r="S128" s="10">
        <v>0</v>
      </c>
      <c r="T128" s="12">
        <v>0</v>
      </c>
      <c r="U128" s="12">
        <v>0</v>
      </c>
      <c r="V128" s="10">
        <v>0</v>
      </c>
      <c r="W128" s="12">
        <v>0</v>
      </c>
      <c r="X128" s="12">
        <v>0</v>
      </c>
      <c r="Y128" s="10">
        <v>0</v>
      </c>
    </row>
    <row r="129" spans="1:25" x14ac:dyDescent="0.3">
      <c r="A129" s="9" t="s">
        <v>131</v>
      </c>
      <c r="B129" s="6">
        <v>2022</v>
      </c>
      <c r="C129" s="10">
        <v>128</v>
      </c>
      <c r="D129" s="6" t="s">
        <v>335</v>
      </c>
      <c r="E129" s="6" t="s">
        <v>64</v>
      </c>
      <c r="F129" s="6" t="s">
        <v>329</v>
      </c>
      <c r="G129" s="11" t="s">
        <v>134</v>
      </c>
      <c r="H129" s="6" t="s">
        <v>135</v>
      </c>
      <c r="I129" s="6" t="s">
        <v>135</v>
      </c>
      <c r="J129" s="6" t="s">
        <v>134</v>
      </c>
      <c r="K129" s="12">
        <v>100</v>
      </c>
      <c r="L129" s="12">
        <v>27</v>
      </c>
      <c r="M129" s="10">
        <v>141</v>
      </c>
      <c r="N129" s="12">
        <v>0</v>
      </c>
      <c r="O129" s="12">
        <v>0</v>
      </c>
      <c r="P129" s="10">
        <v>0</v>
      </c>
      <c r="Q129" s="12">
        <v>0</v>
      </c>
      <c r="R129" s="12">
        <v>0</v>
      </c>
      <c r="S129" s="10">
        <v>0</v>
      </c>
      <c r="T129" s="12">
        <v>0</v>
      </c>
      <c r="U129" s="12">
        <v>0</v>
      </c>
      <c r="V129" s="10">
        <v>0</v>
      </c>
      <c r="W129" s="12">
        <v>0</v>
      </c>
      <c r="X129" s="12">
        <v>0</v>
      </c>
      <c r="Y129" s="10">
        <v>0</v>
      </c>
    </row>
    <row r="130" spans="1:25" x14ac:dyDescent="0.3">
      <c r="A130" s="9" t="s">
        <v>131</v>
      </c>
      <c r="B130" s="6">
        <v>2022</v>
      </c>
      <c r="C130" s="10">
        <v>129</v>
      </c>
      <c r="D130" s="6" t="s">
        <v>336</v>
      </c>
      <c r="E130" s="6" t="s">
        <v>64</v>
      </c>
      <c r="F130" s="6" t="s">
        <v>329</v>
      </c>
      <c r="G130" s="11" t="s">
        <v>134</v>
      </c>
      <c r="H130" s="6" t="s">
        <v>135</v>
      </c>
      <c r="I130" s="6" t="s">
        <v>135</v>
      </c>
      <c r="J130" s="6" t="s">
        <v>134</v>
      </c>
      <c r="K130" s="12">
        <v>100</v>
      </c>
      <c r="L130" s="12">
        <v>27</v>
      </c>
      <c r="M130" s="10">
        <v>141</v>
      </c>
      <c r="N130" s="12">
        <v>0</v>
      </c>
      <c r="O130" s="12">
        <v>0</v>
      </c>
      <c r="P130" s="10">
        <v>0</v>
      </c>
      <c r="Q130" s="12">
        <v>0</v>
      </c>
      <c r="R130" s="12">
        <v>0</v>
      </c>
      <c r="S130" s="10">
        <v>0</v>
      </c>
      <c r="T130" s="12">
        <v>0</v>
      </c>
      <c r="U130" s="12">
        <v>0</v>
      </c>
      <c r="V130" s="10">
        <v>0</v>
      </c>
      <c r="W130" s="12">
        <v>0</v>
      </c>
      <c r="X130" s="12">
        <v>0</v>
      </c>
      <c r="Y130" s="10">
        <v>0</v>
      </c>
    </row>
    <row r="131" spans="1:25" x14ac:dyDescent="0.3">
      <c r="A131" s="9" t="s">
        <v>131</v>
      </c>
      <c r="B131" s="6">
        <v>2022</v>
      </c>
      <c r="C131" s="10">
        <v>130</v>
      </c>
      <c r="D131" s="6" t="s">
        <v>337</v>
      </c>
      <c r="E131" s="6" t="s">
        <v>64</v>
      </c>
      <c r="F131" s="6" t="s">
        <v>329</v>
      </c>
      <c r="G131" s="11" t="s">
        <v>134</v>
      </c>
      <c r="H131" s="6" t="s">
        <v>135</v>
      </c>
      <c r="I131" s="6" t="s">
        <v>135</v>
      </c>
      <c r="J131" s="6" t="s">
        <v>134</v>
      </c>
      <c r="K131" s="12">
        <v>100</v>
      </c>
      <c r="L131" s="12">
        <v>27</v>
      </c>
      <c r="M131" s="10">
        <v>141</v>
      </c>
      <c r="N131" s="12">
        <v>0</v>
      </c>
      <c r="O131" s="12">
        <v>0</v>
      </c>
      <c r="P131" s="10">
        <v>0</v>
      </c>
      <c r="Q131" s="12">
        <v>0</v>
      </c>
      <c r="R131" s="12">
        <v>0</v>
      </c>
      <c r="S131" s="10">
        <v>0</v>
      </c>
      <c r="T131" s="12">
        <v>0</v>
      </c>
      <c r="U131" s="12">
        <v>0</v>
      </c>
      <c r="V131" s="10">
        <v>0</v>
      </c>
      <c r="W131" s="12">
        <v>0</v>
      </c>
      <c r="X131" s="12">
        <v>0</v>
      </c>
      <c r="Y131" s="10">
        <v>0</v>
      </c>
    </row>
    <row r="132" spans="1:25" x14ac:dyDescent="0.3">
      <c r="A132" s="9" t="s">
        <v>131</v>
      </c>
      <c r="B132" s="6">
        <v>2022</v>
      </c>
      <c r="C132" s="10">
        <v>131</v>
      </c>
      <c r="D132" s="6" t="s">
        <v>338</v>
      </c>
      <c r="E132" s="6" t="s">
        <v>64</v>
      </c>
      <c r="F132" s="6" t="s">
        <v>329</v>
      </c>
      <c r="G132" s="11" t="s">
        <v>134</v>
      </c>
      <c r="H132" s="6" t="s">
        <v>135</v>
      </c>
      <c r="I132" s="6" t="s">
        <v>135</v>
      </c>
      <c r="J132" s="6" t="s">
        <v>134</v>
      </c>
      <c r="K132" s="12">
        <v>100</v>
      </c>
      <c r="L132" s="12">
        <v>27</v>
      </c>
      <c r="M132" s="10">
        <v>141</v>
      </c>
      <c r="N132" s="12">
        <v>0</v>
      </c>
      <c r="O132" s="12">
        <v>0</v>
      </c>
      <c r="P132" s="10">
        <v>0</v>
      </c>
      <c r="Q132" s="12">
        <v>0</v>
      </c>
      <c r="R132" s="12">
        <v>0</v>
      </c>
      <c r="S132" s="10">
        <v>0</v>
      </c>
      <c r="T132" s="12">
        <v>0</v>
      </c>
      <c r="U132" s="12">
        <v>0</v>
      </c>
      <c r="V132" s="10">
        <v>0</v>
      </c>
      <c r="W132" s="12">
        <v>0</v>
      </c>
      <c r="X132" s="12">
        <v>0</v>
      </c>
      <c r="Y132" s="10">
        <v>0</v>
      </c>
    </row>
    <row r="133" spans="1:25" x14ac:dyDescent="0.3">
      <c r="A133" s="9" t="s">
        <v>131</v>
      </c>
      <c r="B133" s="6">
        <v>2022</v>
      </c>
      <c r="C133" s="10">
        <v>132</v>
      </c>
      <c r="D133" s="6" t="s">
        <v>339</v>
      </c>
      <c r="E133" s="6" t="s">
        <v>64</v>
      </c>
      <c r="F133" s="6" t="s">
        <v>329</v>
      </c>
      <c r="G133" s="11" t="s">
        <v>134</v>
      </c>
      <c r="H133" s="6" t="s">
        <v>135</v>
      </c>
      <c r="I133" s="6" t="s">
        <v>135</v>
      </c>
      <c r="J133" s="6" t="s">
        <v>134</v>
      </c>
      <c r="K133" s="12">
        <v>100</v>
      </c>
      <c r="L133" s="12">
        <v>27</v>
      </c>
      <c r="M133" s="10">
        <v>141</v>
      </c>
      <c r="N133" s="12">
        <v>0</v>
      </c>
      <c r="O133" s="12">
        <v>0</v>
      </c>
      <c r="P133" s="10">
        <v>0</v>
      </c>
      <c r="Q133" s="12">
        <v>0</v>
      </c>
      <c r="R133" s="12">
        <v>0</v>
      </c>
      <c r="S133" s="10">
        <v>0</v>
      </c>
      <c r="T133" s="12">
        <v>0</v>
      </c>
      <c r="U133" s="12">
        <v>0</v>
      </c>
      <c r="V133" s="10">
        <v>0</v>
      </c>
      <c r="W133" s="12">
        <v>0</v>
      </c>
      <c r="X133" s="12">
        <v>0</v>
      </c>
      <c r="Y133" s="10">
        <v>0</v>
      </c>
    </row>
    <row r="134" spans="1:25" x14ac:dyDescent="0.3">
      <c r="A134" s="9" t="s">
        <v>131</v>
      </c>
      <c r="B134" s="6">
        <v>2022</v>
      </c>
      <c r="C134" s="10">
        <v>133</v>
      </c>
      <c r="D134" s="6" t="s">
        <v>340</v>
      </c>
      <c r="E134" s="6" t="s">
        <v>64</v>
      </c>
      <c r="F134" s="6" t="s">
        <v>329</v>
      </c>
      <c r="G134" s="11" t="s">
        <v>134</v>
      </c>
      <c r="H134" s="6" t="s">
        <v>135</v>
      </c>
      <c r="I134" s="6" t="s">
        <v>135</v>
      </c>
      <c r="J134" s="6" t="s">
        <v>134</v>
      </c>
      <c r="K134" s="12">
        <v>100</v>
      </c>
      <c r="L134" s="12">
        <v>27</v>
      </c>
      <c r="M134" s="10">
        <v>141</v>
      </c>
      <c r="N134" s="12">
        <v>0</v>
      </c>
      <c r="O134" s="12">
        <v>0</v>
      </c>
      <c r="P134" s="10">
        <v>0</v>
      </c>
      <c r="Q134" s="12">
        <v>0</v>
      </c>
      <c r="R134" s="12">
        <v>0</v>
      </c>
      <c r="S134" s="10">
        <v>0</v>
      </c>
      <c r="T134" s="12">
        <v>0</v>
      </c>
      <c r="U134" s="12">
        <v>0</v>
      </c>
      <c r="V134" s="10">
        <v>0</v>
      </c>
      <c r="W134" s="12">
        <v>0</v>
      </c>
      <c r="X134" s="12">
        <v>0</v>
      </c>
      <c r="Y134" s="10">
        <v>0</v>
      </c>
    </row>
    <row r="135" spans="1:25" x14ac:dyDescent="0.3">
      <c r="A135" s="9" t="s">
        <v>131</v>
      </c>
      <c r="B135" s="6">
        <v>2022</v>
      </c>
      <c r="C135" s="10">
        <v>134</v>
      </c>
      <c r="D135" s="6" t="s">
        <v>341</v>
      </c>
      <c r="E135" s="6" t="s">
        <v>64</v>
      </c>
      <c r="F135" s="6" t="s">
        <v>342</v>
      </c>
      <c r="G135" s="11" t="s">
        <v>134</v>
      </c>
      <c r="H135" s="6" t="s">
        <v>135</v>
      </c>
      <c r="I135" s="6" t="s">
        <v>135</v>
      </c>
      <c r="J135" s="6" t="s">
        <v>134</v>
      </c>
      <c r="K135" s="12">
        <v>0</v>
      </c>
      <c r="L135" s="12">
        <v>0</v>
      </c>
      <c r="M135" s="10">
        <v>0</v>
      </c>
      <c r="N135" s="12">
        <v>0</v>
      </c>
      <c r="O135" s="12">
        <v>0</v>
      </c>
      <c r="P135" s="10">
        <v>0</v>
      </c>
      <c r="Q135" s="12">
        <v>0</v>
      </c>
      <c r="R135" s="12">
        <v>0</v>
      </c>
      <c r="S135" s="10">
        <v>0</v>
      </c>
      <c r="T135" s="12">
        <v>0</v>
      </c>
      <c r="U135" s="12">
        <v>0</v>
      </c>
      <c r="V135" s="10">
        <v>0</v>
      </c>
      <c r="W135" s="12">
        <v>0</v>
      </c>
      <c r="X135" s="12">
        <v>0</v>
      </c>
      <c r="Y135" s="10">
        <v>0</v>
      </c>
    </row>
    <row r="136" spans="1:25" x14ac:dyDescent="0.3">
      <c r="A136" s="9" t="s">
        <v>131</v>
      </c>
      <c r="B136" s="6">
        <v>2022</v>
      </c>
      <c r="C136" s="10">
        <v>135</v>
      </c>
      <c r="D136" s="6" t="s">
        <v>343</v>
      </c>
      <c r="E136" s="6" t="s">
        <v>64</v>
      </c>
      <c r="F136" s="6" t="s">
        <v>134</v>
      </c>
      <c r="G136" s="13" t="s">
        <v>344</v>
      </c>
      <c r="H136" s="6" t="s">
        <v>135</v>
      </c>
      <c r="I136" s="6" t="s">
        <v>135</v>
      </c>
      <c r="J136" s="6" t="s">
        <v>134</v>
      </c>
      <c r="K136" s="12">
        <v>0</v>
      </c>
      <c r="L136" s="12">
        <v>0</v>
      </c>
      <c r="M136" s="10">
        <v>0</v>
      </c>
      <c r="N136" s="12">
        <v>0</v>
      </c>
      <c r="O136" s="12">
        <v>0</v>
      </c>
      <c r="P136" s="10">
        <v>0</v>
      </c>
      <c r="Q136" s="12">
        <v>0</v>
      </c>
      <c r="R136" s="12">
        <v>0</v>
      </c>
      <c r="S136" s="10">
        <v>0</v>
      </c>
      <c r="T136" s="12">
        <v>0</v>
      </c>
      <c r="U136" s="12">
        <v>0</v>
      </c>
      <c r="V136" s="10">
        <v>0</v>
      </c>
      <c r="W136" s="12">
        <v>0</v>
      </c>
      <c r="X136" s="12">
        <v>0</v>
      </c>
      <c r="Y136" s="10">
        <v>0</v>
      </c>
    </row>
    <row r="137" spans="1:25" x14ac:dyDescent="0.3">
      <c r="A137" s="9" t="s">
        <v>131</v>
      </c>
      <c r="B137" s="6">
        <v>2022</v>
      </c>
      <c r="C137" s="10">
        <v>136</v>
      </c>
      <c r="D137" s="6" t="s">
        <v>345</v>
      </c>
      <c r="E137" s="6" t="s">
        <v>64</v>
      </c>
      <c r="F137" s="6" t="s">
        <v>134</v>
      </c>
      <c r="G137" s="13" t="s">
        <v>346</v>
      </c>
      <c r="H137" s="6" t="s">
        <v>135</v>
      </c>
      <c r="I137" s="6" t="s">
        <v>135</v>
      </c>
      <c r="J137" s="6" t="s">
        <v>134</v>
      </c>
      <c r="K137" s="12">
        <v>0</v>
      </c>
      <c r="L137" s="12">
        <v>0</v>
      </c>
      <c r="M137" s="10">
        <v>0</v>
      </c>
      <c r="N137" s="12">
        <v>0</v>
      </c>
      <c r="O137" s="12">
        <v>0</v>
      </c>
      <c r="P137" s="10">
        <v>0</v>
      </c>
      <c r="Q137" s="12">
        <v>0</v>
      </c>
      <c r="R137" s="12">
        <v>0</v>
      </c>
      <c r="S137" s="10">
        <v>0</v>
      </c>
      <c r="T137" s="12">
        <v>0</v>
      </c>
      <c r="U137" s="12">
        <v>0</v>
      </c>
      <c r="V137" s="10">
        <v>0</v>
      </c>
      <c r="W137" s="12">
        <v>0</v>
      </c>
      <c r="X137" s="12">
        <v>0</v>
      </c>
      <c r="Y137" s="10">
        <v>0</v>
      </c>
    </row>
    <row r="138" spans="1:25" x14ac:dyDescent="0.3">
      <c r="A138" s="9" t="s">
        <v>131</v>
      </c>
      <c r="B138" s="6">
        <v>2022</v>
      </c>
      <c r="C138" s="10">
        <v>137</v>
      </c>
      <c r="D138" s="6" t="s">
        <v>347</v>
      </c>
      <c r="E138" s="6" t="s">
        <v>64</v>
      </c>
      <c r="F138" s="6" t="s">
        <v>348</v>
      </c>
      <c r="G138" s="11" t="s">
        <v>134</v>
      </c>
      <c r="H138" s="6" t="s">
        <v>135</v>
      </c>
      <c r="I138" s="6" t="s">
        <v>135</v>
      </c>
      <c r="J138" s="6" t="s">
        <v>134</v>
      </c>
      <c r="K138" s="12">
        <v>0</v>
      </c>
      <c r="L138" s="12">
        <v>0</v>
      </c>
      <c r="M138" s="10">
        <v>0</v>
      </c>
      <c r="N138" s="12">
        <v>0</v>
      </c>
      <c r="O138" s="12">
        <v>0</v>
      </c>
      <c r="P138" s="10">
        <v>0</v>
      </c>
      <c r="Q138" s="12">
        <v>0</v>
      </c>
      <c r="R138" s="12">
        <v>0</v>
      </c>
      <c r="S138" s="10">
        <v>0</v>
      </c>
      <c r="T138" s="12">
        <v>0</v>
      </c>
      <c r="U138" s="12">
        <v>0</v>
      </c>
      <c r="V138" s="10">
        <v>0</v>
      </c>
      <c r="W138" s="12">
        <v>0</v>
      </c>
      <c r="X138" s="12">
        <v>0</v>
      </c>
      <c r="Y138" s="10">
        <v>0</v>
      </c>
    </row>
    <row r="139" spans="1:25" x14ac:dyDescent="0.3">
      <c r="A139" s="9" t="s">
        <v>131</v>
      </c>
      <c r="B139" s="6">
        <v>2022</v>
      </c>
      <c r="C139" s="10">
        <v>138</v>
      </c>
      <c r="D139" s="6" t="s">
        <v>349</v>
      </c>
      <c r="E139" s="6" t="s">
        <v>64</v>
      </c>
      <c r="F139" s="6" t="s">
        <v>348</v>
      </c>
      <c r="G139" s="11" t="s">
        <v>134</v>
      </c>
      <c r="H139" s="6" t="s">
        <v>135</v>
      </c>
      <c r="I139" s="6" t="s">
        <v>135</v>
      </c>
      <c r="J139" s="6" t="s">
        <v>134</v>
      </c>
      <c r="K139" s="12">
        <v>100</v>
      </c>
      <c r="L139" s="12">
        <v>27</v>
      </c>
      <c r="M139" s="10">
        <v>141</v>
      </c>
      <c r="N139" s="12">
        <v>0</v>
      </c>
      <c r="O139" s="12">
        <v>0</v>
      </c>
      <c r="P139" s="10">
        <v>0</v>
      </c>
      <c r="Q139" s="12">
        <v>0</v>
      </c>
      <c r="R139" s="12">
        <v>0</v>
      </c>
      <c r="S139" s="10">
        <v>0</v>
      </c>
      <c r="T139" s="12">
        <v>0</v>
      </c>
      <c r="U139" s="12">
        <v>0</v>
      </c>
      <c r="V139" s="10">
        <v>0</v>
      </c>
      <c r="W139" s="12">
        <v>0</v>
      </c>
      <c r="X139" s="12">
        <v>0</v>
      </c>
      <c r="Y139" s="10">
        <v>0</v>
      </c>
    </row>
    <row r="140" spans="1:25" x14ac:dyDescent="0.3">
      <c r="A140" s="9" t="s">
        <v>131</v>
      </c>
      <c r="B140" s="6">
        <v>2022</v>
      </c>
      <c r="C140" s="10">
        <v>139</v>
      </c>
      <c r="D140" s="6" t="s">
        <v>350</v>
      </c>
      <c r="E140" s="6" t="s">
        <v>64</v>
      </c>
      <c r="F140" s="6" t="s">
        <v>351</v>
      </c>
      <c r="G140" s="11" t="s">
        <v>134</v>
      </c>
      <c r="H140" s="6" t="s">
        <v>135</v>
      </c>
      <c r="I140" s="6" t="s">
        <v>135</v>
      </c>
      <c r="J140" s="6" t="s">
        <v>134</v>
      </c>
      <c r="K140" s="12">
        <v>100</v>
      </c>
      <c r="L140" s="12">
        <v>27</v>
      </c>
      <c r="M140" s="10">
        <v>141</v>
      </c>
      <c r="N140" s="12">
        <v>0</v>
      </c>
      <c r="O140" s="12">
        <v>0</v>
      </c>
      <c r="P140" s="10">
        <v>0</v>
      </c>
      <c r="Q140" s="12">
        <v>0</v>
      </c>
      <c r="R140" s="12">
        <v>0</v>
      </c>
      <c r="S140" s="10">
        <v>0</v>
      </c>
      <c r="T140" s="12">
        <v>0</v>
      </c>
      <c r="U140" s="12">
        <v>0</v>
      </c>
      <c r="V140" s="10">
        <v>0</v>
      </c>
      <c r="W140" s="12">
        <v>0</v>
      </c>
      <c r="X140" s="12">
        <v>0</v>
      </c>
      <c r="Y140" s="10">
        <v>0</v>
      </c>
    </row>
    <row r="141" spans="1:25" x14ac:dyDescent="0.3">
      <c r="A141" s="9" t="s">
        <v>131</v>
      </c>
      <c r="B141" s="6">
        <v>2022</v>
      </c>
      <c r="C141" s="10">
        <v>140</v>
      </c>
      <c r="D141" s="6" t="s">
        <v>352</v>
      </c>
      <c r="E141" s="6" t="s">
        <v>64</v>
      </c>
      <c r="F141" s="6" t="s">
        <v>134</v>
      </c>
      <c r="G141" s="13" t="s">
        <v>353</v>
      </c>
      <c r="H141" s="6" t="s">
        <v>135</v>
      </c>
      <c r="I141" s="6" t="s">
        <v>135</v>
      </c>
      <c r="J141" s="6" t="s">
        <v>134</v>
      </c>
      <c r="K141" s="12">
        <v>0</v>
      </c>
      <c r="L141" s="12">
        <v>0</v>
      </c>
      <c r="M141" s="10">
        <v>0</v>
      </c>
      <c r="N141" s="12">
        <v>0</v>
      </c>
      <c r="O141" s="12">
        <v>0</v>
      </c>
      <c r="P141" s="10">
        <v>0</v>
      </c>
      <c r="Q141" s="12">
        <v>0</v>
      </c>
      <c r="R141" s="12">
        <v>0</v>
      </c>
      <c r="S141" s="10">
        <v>0</v>
      </c>
      <c r="T141" s="12">
        <v>0</v>
      </c>
      <c r="U141" s="12">
        <v>0</v>
      </c>
      <c r="V141" s="10">
        <v>0</v>
      </c>
      <c r="W141" s="12">
        <v>0</v>
      </c>
      <c r="X141" s="12">
        <v>0</v>
      </c>
      <c r="Y141" s="10">
        <v>0</v>
      </c>
    </row>
    <row r="142" spans="1:25" x14ac:dyDescent="0.3">
      <c r="A142" s="9" t="s">
        <v>131</v>
      </c>
      <c r="B142" s="6">
        <v>2022</v>
      </c>
      <c r="C142" s="10">
        <v>141</v>
      </c>
      <c r="D142" s="6" t="s">
        <v>354</v>
      </c>
      <c r="E142" s="6" t="s">
        <v>64</v>
      </c>
      <c r="F142" s="6" t="s">
        <v>355</v>
      </c>
      <c r="G142" s="11" t="s">
        <v>134</v>
      </c>
      <c r="H142" s="6" t="s">
        <v>135</v>
      </c>
      <c r="I142" s="6" t="s">
        <v>135</v>
      </c>
      <c r="J142" s="6" t="s">
        <v>238</v>
      </c>
      <c r="K142" s="12">
        <v>0</v>
      </c>
      <c r="L142" s="12">
        <v>0</v>
      </c>
      <c r="M142" s="10">
        <v>0</v>
      </c>
      <c r="N142" s="12">
        <v>0</v>
      </c>
      <c r="O142" s="12">
        <v>0</v>
      </c>
      <c r="P142" s="10">
        <v>0</v>
      </c>
      <c r="Q142" s="12">
        <v>0</v>
      </c>
      <c r="R142" s="12">
        <v>0</v>
      </c>
      <c r="S142" s="10">
        <v>0</v>
      </c>
      <c r="T142" s="12">
        <v>0</v>
      </c>
      <c r="U142" s="12">
        <v>0</v>
      </c>
      <c r="V142" s="10">
        <v>0</v>
      </c>
      <c r="W142" s="12">
        <v>0</v>
      </c>
      <c r="X142" s="12">
        <v>0</v>
      </c>
      <c r="Y142" s="10">
        <v>0</v>
      </c>
    </row>
    <row r="143" spans="1:25" x14ac:dyDescent="0.3">
      <c r="A143" s="9" t="s">
        <v>131</v>
      </c>
      <c r="B143" s="6">
        <v>2022</v>
      </c>
      <c r="C143" s="10">
        <v>142</v>
      </c>
      <c r="D143" s="6" t="s">
        <v>356</v>
      </c>
      <c r="E143" s="6" t="s">
        <v>64</v>
      </c>
      <c r="F143" s="6" t="s">
        <v>357</v>
      </c>
      <c r="G143" s="11" t="s">
        <v>134</v>
      </c>
      <c r="H143" s="6" t="s">
        <v>135</v>
      </c>
      <c r="I143" s="6" t="s">
        <v>135</v>
      </c>
      <c r="J143" s="6" t="s">
        <v>238</v>
      </c>
      <c r="K143" s="12">
        <v>0</v>
      </c>
      <c r="L143" s="12">
        <v>0</v>
      </c>
      <c r="M143" s="10">
        <v>0</v>
      </c>
      <c r="N143" s="12">
        <v>0</v>
      </c>
      <c r="O143" s="12">
        <v>0</v>
      </c>
      <c r="P143" s="10">
        <v>0</v>
      </c>
      <c r="Q143" s="12">
        <v>0</v>
      </c>
      <c r="R143" s="12">
        <v>0</v>
      </c>
      <c r="S143" s="10">
        <v>0</v>
      </c>
      <c r="T143" s="12">
        <v>0</v>
      </c>
      <c r="U143" s="12">
        <v>0</v>
      </c>
      <c r="V143" s="10">
        <v>0</v>
      </c>
      <c r="W143" s="12">
        <v>0</v>
      </c>
      <c r="X143" s="12">
        <v>0</v>
      </c>
      <c r="Y143" s="10">
        <v>0</v>
      </c>
    </row>
    <row r="144" spans="1:25" x14ac:dyDescent="0.3">
      <c r="A144" s="9" t="s">
        <v>131</v>
      </c>
      <c r="B144" s="6">
        <v>2022</v>
      </c>
      <c r="C144" s="10">
        <v>143</v>
      </c>
      <c r="D144" s="6" t="s">
        <v>358</v>
      </c>
      <c r="E144" s="6" t="s">
        <v>64</v>
      </c>
      <c r="F144" s="6" t="s">
        <v>134</v>
      </c>
      <c r="G144" s="13" t="s">
        <v>359</v>
      </c>
      <c r="H144" s="6" t="s">
        <v>135</v>
      </c>
      <c r="I144" s="6" t="s">
        <v>135</v>
      </c>
      <c r="J144" s="6" t="s">
        <v>134</v>
      </c>
      <c r="K144" s="12">
        <v>0</v>
      </c>
      <c r="L144" s="12">
        <v>0</v>
      </c>
      <c r="M144" s="10">
        <v>0</v>
      </c>
      <c r="N144" s="12">
        <v>0</v>
      </c>
      <c r="O144" s="12">
        <v>0</v>
      </c>
      <c r="P144" s="10">
        <v>0</v>
      </c>
      <c r="Q144" s="12">
        <v>0</v>
      </c>
      <c r="R144" s="12">
        <v>0</v>
      </c>
      <c r="S144" s="10">
        <v>0</v>
      </c>
      <c r="T144" s="12">
        <v>0</v>
      </c>
      <c r="U144" s="12">
        <v>0</v>
      </c>
      <c r="V144" s="10">
        <v>0</v>
      </c>
      <c r="W144" s="12">
        <v>0</v>
      </c>
      <c r="X144" s="12">
        <v>0</v>
      </c>
      <c r="Y144" s="10">
        <v>0</v>
      </c>
    </row>
    <row r="145" spans="1:25" x14ac:dyDescent="0.3">
      <c r="A145" s="9" t="s">
        <v>131</v>
      </c>
      <c r="B145" s="6">
        <v>2022</v>
      </c>
      <c r="C145" s="10">
        <v>144</v>
      </c>
      <c r="D145" s="6" t="s">
        <v>360</v>
      </c>
      <c r="E145" s="6" t="s">
        <v>64</v>
      </c>
      <c r="F145" s="6" t="s">
        <v>361</v>
      </c>
      <c r="G145" s="11" t="s">
        <v>134</v>
      </c>
      <c r="H145" s="6" t="s">
        <v>135</v>
      </c>
      <c r="I145" s="6" t="s">
        <v>135</v>
      </c>
      <c r="J145" s="6" t="s">
        <v>134</v>
      </c>
      <c r="K145" s="12">
        <v>0</v>
      </c>
      <c r="L145" s="12">
        <v>0</v>
      </c>
      <c r="M145" s="10">
        <v>0</v>
      </c>
      <c r="N145" s="12">
        <v>0</v>
      </c>
      <c r="O145" s="12">
        <v>0</v>
      </c>
      <c r="P145" s="10">
        <v>0</v>
      </c>
      <c r="Q145" s="12">
        <v>0</v>
      </c>
      <c r="R145" s="12">
        <v>0</v>
      </c>
      <c r="S145" s="10">
        <v>0</v>
      </c>
      <c r="T145" s="12">
        <v>0</v>
      </c>
      <c r="U145" s="12">
        <v>0</v>
      </c>
      <c r="V145" s="10">
        <v>0</v>
      </c>
      <c r="W145" s="12">
        <v>0</v>
      </c>
      <c r="X145" s="12">
        <v>0</v>
      </c>
      <c r="Y145" s="10">
        <v>0</v>
      </c>
    </row>
    <row r="146" spans="1:25" x14ac:dyDescent="0.3">
      <c r="A146" s="9" t="s">
        <v>131</v>
      </c>
      <c r="B146" s="6">
        <v>2022</v>
      </c>
      <c r="C146" s="10">
        <v>145</v>
      </c>
      <c r="D146" s="6" t="s">
        <v>362</v>
      </c>
      <c r="E146" s="6" t="s">
        <v>64</v>
      </c>
      <c r="F146" s="6" t="s">
        <v>363</v>
      </c>
      <c r="G146" s="11" t="s">
        <v>134</v>
      </c>
      <c r="H146" s="6" t="s">
        <v>135</v>
      </c>
      <c r="I146" s="6" t="s">
        <v>135</v>
      </c>
      <c r="J146" s="6" t="s">
        <v>134</v>
      </c>
      <c r="K146" s="12">
        <v>0</v>
      </c>
      <c r="L146" s="12">
        <v>0</v>
      </c>
      <c r="M146" s="10">
        <v>0</v>
      </c>
      <c r="N146" s="12">
        <v>0</v>
      </c>
      <c r="O146" s="12">
        <v>0</v>
      </c>
      <c r="P146" s="10">
        <v>0</v>
      </c>
      <c r="Q146" s="12">
        <v>0</v>
      </c>
      <c r="R146" s="12">
        <v>0</v>
      </c>
      <c r="S146" s="10">
        <v>0</v>
      </c>
      <c r="T146" s="12">
        <v>0</v>
      </c>
      <c r="U146" s="12">
        <v>0</v>
      </c>
      <c r="V146" s="10">
        <v>0</v>
      </c>
      <c r="W146" s="12">
        <v>0</v>
      </c>
      <c r="X146" s="12">
        <v>0</v>
      </c>
      <c r="Y146" s="10">
        <v>0</v>
      </c>
    </row>
    <row r="147" spans="1:25" x14ac:dyDescent="0.3">
      <c r="A147" s="9" t="s">
        <v>131</v>
      </c>
      <c r="B147" s="6">
        <v>2022</v>
      </c>
      <c r="C147" s="10">
        <v>146</v>
      </c>
      <c r="D147" s="6" t="s">
        <v>364</v>
      </c>
      <c r="E147" s="6" t="s">
        <v>64</v>
      </c>
      <c r="F147" s="6" t="s">
        <v>363</v>
      </c>
      <c r="G147" s="11" t="s">
        <v>134</v>
      </c>
      <c r="H147" s="6" t="s">
        <v>135</v>
      </c>
      <c r="I147" s="6" t="s">
        <v>135</v>
      </c>
      <c r="J147" s="6" t="s">
        <v>134</v>
      </c>
      <c r="K147" s="12">
        <v>0</v>
      </c>
      <c r="L147" s="12">
        <v>0</v>
      </c>
      <c r="M147" s="10">
        <v>0</v>
      </c>
      <c r="N147" s="12">
        <v>0</v>
      </c>
      <c r="O147" s="12">
        <v>0</v>
      </c>
      <c r="P147" s="10">
        <v>0</v>
      </c>
      <c r="Q147" s="12">
        <v>0</v>
      </c>
      <c r="R147" s="12">
        <v>0</v>
      </c>
      <c r="S147" s="10">
        <v>0</v>
      </c>
      <c r="T147" s="12">
        <v>0</v>
      </c>
      <c r="U147" s="12">
        <v>0</v>
      </c>
      <c r="V147" s="10">
        <v>0</v>
      </c>
      <c r="W147" s="12">
        <v>0</v>
      </c>
      <c r="X147" s="12">
        <v>0</v>
      </c>
      <c r="Y147" s="10">
        <v>0</v>
      </c>
    </row>
    <row r="148" spans="1:25" x14ac:dyDescent="0.3">
      <c r="A148" s="9" t="s">
        <v>131</v>
      </c>
      <c r="B148" s="6">
        <v>2022</v>
      </c>
      <c r="C148" s="10">
        <v>147</v>
      </c>
      <c r="D148" s="6" t="s">
        <v>365</v>
      </c>
      <c r="E148" s="6" t="s">
        <v>64</v>
      </c>
      <c r="F148" s="6" t="s">
        <v>363</v>
      </c>
      <c r="G148" s="11" t="s">
        <v>134</v>
      </c>
      <c r="H148" s="6" t="s">
        <v>135</v>
      </c>
      <c r="I148" s="6" t="s">
        <v>135</v>
      </c>
      <c r="J148" s="6" t="s">
        <v>134</v>
      </c>
      <c r="K148" s="12">
        <v>0</v>
      </c>
      <c r="L148" s="12">
        <v>0</v>
      </c>
      <c r="M148" s="10">
        <v>0</v>
      </c>
      <c r="N148" s="12">
        <v>0</v>
      </c>
      <c r="O148" s="12">
        <v>0</v>
      </c>
      <c r="P148" s="10">
        <v>0</v>
      </c>
      <c r="Q148" s="12">
        <v>0</v>
      </c>
      <c r="R148" s="12">
        <v>0</v>
      </c>
      <c r="S148" s="10">
        <v>0</v>
      </c>
      <c r="T148" s="12">
        <v>0</v>
      </c>
      <c r="U148" s="12">
        <v>0</v>
      </c>
      <c r="V148" s="10">
        <v>0</v>
      </c>
      <c r="W148" s="12">
        <v>0</v>
      </c>
      <c r="X148" s="12">
        <v>0</v>
      </c>
      <c r="Y148" s="10">
        <v>0</v>
      </c>
    </row>
    <row r="149" spans="1:25" x14ac:dyDescent="0.3">
      <c r="A149" s="9" t="s">
        <v>131</v>
      </c>
      <c r="B149" s="6">
        <v>2022</v>
      </c>
      <c r="C149" s="10">
        <v>148</v>
      </c>
      <c r="D149" s="6" t="s">
        <v>366</v>
      </c>
      <c r="E149" s="6" t="s">
        <v>64</v>
      </c>
      <c r="F149" s="6" t="s">
        <v>367</v>
      </c>
      <c r="G149" s="11" t="s">
        <v>134</v>
      </c>
      <c r="H149" s="6" t="s">
        <v>135</v>
      </c>
      <c r="I149" s="6" t="s">
        <v>135</v>
      </c>
      <c r="J149" s="6" t="s">
        <v>134</v>
      </c>
      <c r="K149" s="12">
        <v>0</v>
      </c>
      <c r="L149" s="12">
        <v>0</v>
      </c>
      <c r="M149" s="10">
        <v>0</v>
      </c>
      <c r="N149" s="12">
        <v>0</v>
      </c>
      <c r="O149" s="12">
        <v>0</v>
      </c>
      <c r="P149" s="10">
        <v>0</v>
      </c>
      <c r="Q149" s="12">
        <v>0</v>
      </c>
      <c r="R149" s="12">
        <v>0</v>
      </c>
      <c r="S149" s="10">
        <v>0</v>
      </c>
      <c r="T149" s="12">
        <v>0</v>
      </c>
      <c r="U149" s="12">
        <v>0</v>
      </c>
      <c r="V149" s="10">
        <v>0</v>
      </c>
      <c r="W149" s="12">
        <v>0</v>
      </c>
      <c r="X149" s="12">
        <v>0</v>
      </c>
      <c r="Y149" s="10">
        <v>0</v>
      </c>
    </row>
    <row r="150" spans="1:25" x14ac:dyDescent="0.3">
      <c r="A150" s="9" t="s">
        <v>131</v>
      </c>
      <c r="B150" s="6">
        <v>2022</v>
      </c>
      <c r="C150" s="10">
        <v>149</v>
      </c>
      <c r="D150" s="6" t="s">
        <v>368</v>
      </c>
      <c r="E150" s="6" t="s">
        <v>64</v>
      </c>
      <c r="F150" s="6" t="s">
        <v>367</v>
      </c>
      <c r="G150" s="11" t="s">
        <v>134</v>
      </c>
      <c r="H150" s="6" t="s">
        <v>135</v>
      </c>
      <c r="I150" s="6" t="s">
        <v>135</v>
      </c>
      <c r="J150" s="6" t="s">
        <v>134</v>
      </c>
      <c r="K150" s="12">
        <v>0</v>
      </c>
      <c r="L150" s="12">
        <v>0</v>
      </c>
      <c r="M150" s="10">
        <v>0</v>
      </c>
      <c r="N150" s="12">
        <v>0</v>
      </c>
      <c r="O150" s="12">
        <v>0</v>
      </c>
      <c r="P150" s="10">
        <v>0</v>
      </c>
      <c r="Q150" s="12">
        <v>0</v>
      </c>
      <c r="R150" s="12">
        <v>0</v>
      </c>
      <c r="S150" s="10">
        <v>0</v>
      </c>
      <c r="T150" s="12">
        <v>0</v>
      </c>
      <c r="U150" s="12">
        <v>0</v>
      </c>
      <c r="V150" s="10">
        <v>0</v>
      </c>
      <c r="W150" s="12">
        <v>0</v>
      </c>
      <c r="X150" s="12">
        <v>0</v>
      </c>
      <c r="Y150" s="10">
        <v>0</v>
      </c>
    </row>
    <row r="151" spans="1:25" x14ac:dyDescent="0.3">
      <c r="A151" s="9" t="s">
        <v>131</v>
      </c>
      <c r="B151" s="6">
        <v>2022</v>
      </c>
      <c r="C151" s="10">
        <v>150</v>
      </c>
      <c r="D151" s="6" t="s">
        <v>369</v>
      </c>
      <c r="E151" s="6" t="s">
        <v>64</v>
      </c>
      <c r="F151" s="6" t="s">
        <v>134</v>
      </c>
      <c r="G151" s="13" t="s">
        <v>370</v>
      </c>
      <c r="H151" s="6" t="s">
        <v>135</v>
      </c>
      <c r="I151" s="6" t="s">
        <v>135</v>
      </c>
      <c r="J151" s="6" t="s">
        <v>134</v>
      </c>
      <c r="K151" s="12">
        <v>0</v>
      </c>
      <c r="L151" s="12">
        <v>0</v>
      </c>
      <c r="M151" s="10">
        <v>0</v>
      </c>
      <c r="N151" s="12">
        <v>0</v>
      </c>
      <c r="O151" s="12">
        <v>0</v>
      </c>
      <c r="P151" s="10">
        <v>0</v>
      </c>
      <c r="Q151" s="12">
        <v>0</v>
      </c>
      <c r="R151" s="12">
        <v>0</v>
      </c>
      <c r="S151" s="10">
        <v>0</v>
      </c>
      <c r="T151" s="12">
        <v>0</v>
      </c>
      <c r="U151" s="12">
        <v>0</v>
      </c>
      <c r="V151" s="10">
        <v>0</v>
      </c>
      <c r="W151" s="12">
        <v>0</v>
      </c>
      <c r="X151" s="12">
        <v>0</v>
      </c>
      <c r="Y151" s="10">
        <v>0</v>
      </c>
    </row>
    <row r="152" spans="1:25" x14ac:dyDescent="0.3">
      <c r="A152" s="9" t="s">
        <v>131</v>
      </c>
      <c r="B152" s="6">
        <v>2022</v>
      </c>
      <c r="C152" s="10">
        <v>151</v>
      </c>
      <c r="D152" s="6" t="s">
        <v>371</v>
      </c>
      <c r="E152" s="6" t="s">
        <v>64</v>
      </c>
      <c r="F152" s="6" t="s">
        <v>134</v>
      </c>
      <c r="G152" s="13" t="s">
        <v>372</v>
      </c>
      <c r="H152" s="6" t="s">
        <v>135</v>
      </c>
      <c r="I152" s="6" t="s">
        <v>135</v>
      </c>
      <c r="J152" s="6" t="s">
        <v>134</v>
      </c>
      <c r="K152" s="12">
        <v>0</v>
      </c>
      <c r="L152" s="12">
        <v>0</v>
      </c>
      <c r="M152" s="10">
        <v>0</v>
      </c>
      <c r="N152" s="12">
        <v>0</v>
      </c>
      <c r="O152" s="12">
        <v>0</v>
      </c>
      <c r="P152" s="10">
        <v>0</v>
      </c>
      <c r="Q152" s="12">
        <v>0</v>
      </c>
      <c r="R152" s="12">
        <v>0</v>
      </c>
      <c r="S152" s="10">
        <v>0</v>
      </c>
      <c r="T152" s="12">
        <v>0</v>
      </c>
      <c r="U152" s="12">
        <v>0</v>
      </c>
      <c r="V152" s="10">
        <v>0</v>
      </c>
      <c r="W152" s="12">
        <v>0</v>
      </c>
      <c r="X152" s="12">
        <v>0</v>
      </c>
      <c r="Y152" s="10">
        <v>0</v>
      </c>
    </row>
    <row r="153" spans="1:25" x14ac:dyDescent="0.3">
      <c r="A153" s="9" t="s">
        <v>131</v>
      </c>
      <c r="B153" s="6">
        <v>2022</v>
      </c>
      <c r="C153" s="10">
        <v>152</v>
      </c>
      <c r="D153" s="6" t="s">
        <v>373</v>
      </c>
      <c r="E153" s="6" t="s">
        <v>64</v>
      </c>
      <c r="F153" s="6" t="s">
        <v>374</v>
      </c>
      <c r="G153" s="11" t="s">
        <v>134</v>
      </c>
      <c r="H153" s="6" t="s">
        <v>135</v>
      </c>
      <c r="I153" s="6" t="s">
        <v>135</v>
      </c>
      <c r="J153" s="6" t="s">
        <v>134</v>
      </c>
      <c r="K153" s="12">
        <v>0</v>
      </c>
      <c r="L153" s="12">
        <v>0</v>
      </c>
      <c r="M153" s="10">
        <v>0</v>
      </c>
      <c r="N153" s="12">
        <v>0</v>
      </c>
      <c r="O153" s="12">
        <v>0</v>
      </c>
      <c r="P153" s="10">
        <v>0</v>
      </c>
      <c r="Q153" s="12">
        <v>0</v>
      </c>
      <c r="R153" s="12">
        <v>0</v>
      </c>
      <c r="S153" s="10">
        <v>0</v>
      </c>
      <c r="T153" s="12">
        <v>0</v>
      </c>
      <c r="U153" s="12">
        <v>0</v>
      </c>
      <c r="V153" s="10">
        <v>0</v>
      </c>
      <c r="W153" s="12">
        <v>0</v>
      </c>
      <c r="X153" s="12">
        <v>0</v>
      </c>
      <c r="Y153" s="10">
        <v>0</v>
      </c>
    </row>
    <row r="154" spans="1:25" x14ac:dyDescent="0.3">
      <c r="A154" s="9" t="s">
        <v>131</v>
      </c>
      <c r="B154" s="6">
        <v>2022</v>
      </c>
      <c r="C154" s="10">
        <v>153</v>
      </c>
      <c r="D154" s="6" t="s">
        <v>375</v>
      </c>
      <c r="E154" s="6" t="s">
        <v>64</v>
      </c>
      <c r="F154" s="6" t="s">
        <v>374</v>
      </c>
      <c r="G154" s="11" t="s">
        <v>134</v>
      </c>
      <c r="H154" s="6" t="s">
        <v>135</v>
      </c>
      <c r="I154" s="6" t="s">
        <v>135</v>
      </c>
      <c r="J154" s="6" t="s">
        <v>134</v>
      </c>
      <c r="K154" s="12">
        <v>0</v>
      </c>
      <c r="L154" s="12">
        <v>0</v>
      </c>
      <c r="M154" s="10">
        <v>0</v>
      </c>
      <c r="N154" s="12">
        <v>0</v>
      </c>
      <c r="O154" s="12">
        <v>0</v>
      </c>
      <c r="P154" s="10">
        <v>0</v>
      </c>
      <c r="Q154" s="12">
        <v>0</v>
      </c>
      <c r="R154" s="12">
        <v>0</v>
      </c>
      <c r="S154" s="10">
        <v>0</v>
      </c>
      <c r="T154" s="12">
        <v>0</v>
      </c>
      <c r="U154" s="12">
        <v>0</v>
      </c>
      <c r="V154" s="10">
        <v>0</v>
      </c>
      <c r="W154" s="12">
        <v>0</v>
      </c>
      <c r="X154" s="12">
        <v>0</v>
      </c>
      <c r="Y154" s="10">
        <v>0</v>
      </c>
    </row>
    <row r="155" spans="1:25" x14ac:dyDescent="0.3">
      <c r="A155" s="9" t="s">
        <v>131</v>
      </c>
      <c r="B155" s="6">
        <v>2022</v>
      </c>
      <c r="C155" s="10">
        <v>154</v>
      </c>
      <c r="D155" s="6" t="s">
        <v>376</v>
      </c>
      <c r="E155" s="6" t="s">
        <v>64</v>
      </c>
      <c r="F155" s="6" t="s">
        <v>374</v>
      </c>
      <c r="G155" s="11" t="s">
        <v>134</v>
      </c>
      <c r="H155" s="6" t="s">
        <v>135</v>
      </c>
      <c r="I155" s="6" t="s">
        <v>135</v>
      </c>
      <c r="J155" s="6" t="s">
        <v>134</v>
      </c>
      <c r="K155" s="12">
        <v>0</v>
      </c>
      <c r="L155" s="12">
        <v>0</v>
      </c>
      <c r="M155" s="10">
        <v>0</v>
      </c>
      <c r="N155" s="12">
        <v>0</v>
      </c>
      <c r="O155" s="12">
        <v>0</v>
      </c>
      <c r="P155" s="10">
        <v>0</v>
      </c>
      <c r="Q155" s="12">
        <v>0</v>
      </c>
      <c r="R155" s="12">
        <v>0</v>
      </c>
      <c r="S155" s="10">
        <v>0</v>
      </c>
      <c r="T155" s="12">
        <v>0</v>
      </c>
      <c r="U155" s="12">
        <v>0</v>
      </c>
      <c r="V155" s="10">
        <v>0</v>
      </c>
      <c r="W155" s="12">
        <v>0</v>
      </c>
      <c r="X155" s="12">
        <v>0</v>
      </c>
      <c r="Y155" s="10">
        <v>0</v>
      </c>
    </row>
    <row r="156" spans="1:25" x14ac:dyDescent="0.3">
      <c r="A156" s="9" t="s">
        <v>131</v>
      </c>
      <c r="B156" s="6">
        <v>2022</v>
      </c>
      <c r="C156" s="10">
        <v>155</v>
      </c>
      <c r="D156" s="6" t="s">
        <v>377</v>
      </c>
      <c r="E156" s="6" t="s">
        <v>64</v>
      </c>
      <c r="F156" s="6" t="s">
        <v>374</v>
      </c>
      <c r="G156" s="11" t="s">
        <v>134</v>
      </c>
      <c r="H156" s="6" t="s">
        <v>135</v>
      </c>
      <c r="I156" s="6" t="s">
        <v>135</v>
      </c>
      <c r="J156" s="6" t="s">
        <v>134</v>
      </c>
      <c r="K156" s="12">
        <v>0</v>
      </c>
      <c r="L156" s="12">
        <v>0</v>
      </c>
      <c r="M156" s="10">
        <v>0</v>
      </c>
      <c r="N156" s="12">
        <v>0</v>
      </c>
      <c r="O156" s="12">
        <v>0</v>
      </c>
      <c r="P156" s="10">
        <v>0</v>
      </c>
      <c r="Q156" s="12">
        <v>0</v>
      </c>
      <c r="R156" s="12">
        <v>0</v>
      </c>
      <c r="S156" s="10">
        <v>0</v>
      </c>
      <c r="T156" s="12">
        <v>0</v>
      </c>
      <c r="U156" s="12">
        <v>0</v>
      </c>
      <c r="V156" s="10">
        <v>0</v>
      </c>
      <c r="W156" s="12">
        <v>0</v>
      </c>
      <c r="X156" s="12">
        <v>0</v>
      </c>
      <c r="Y156" s="10">
        <v>0</v>
      </c>
    </row>
    <row r="157" spans="1:25" x14ac:dyDescent="0.3">
      <c r="A157" s="9" t="s">
        <v>131</v>
      </c>
      <c r="B157" s="6">
        <v>2022</v>
      </c>
      <c r="C157" s="10">
        <v>156</v>
      </c>
      <c r="D157" s="6" t="s">
        <v>378</v>
      </c>
      <c r="E157" s="6" t="s">
        <v>64</v>
      </c>
      <c r="F157" s="6" t="s">
        <v>374</v>
      </c>
      <c r="G157" s="11" t="s">
        <v>134</v>
      </c>
      <c r="H157" s="6" t="s">
        <v>135</v>
      </c>
      <c r="I157" s="6" t="s">
        <v>135</v>
      </c>
      <c r="J157" s="6" t="s">
        <v>134</v>
      </c>
      <c r="K157" s="12">
        <v>0</v>
      </c>
      <c r="L157" s="12">
        <v>0</v>
      </c>
      <c r="M157" s="10">
        <v>0</v>
      </c>
      <c r="N157" s="12">
        <v>0</v>
      </c>
      <c r="O157" s="12">
        <v>0</v>
      </c>
      <c r="P157" s="10">
        <v>0</v>
      </c>
      <c r="Q157" s="12">
        <v>0</v>
      </c>
      <c r="R157" s="12">
        <v>0</v>
      </c>
      <c r="S157" s="10">
        <v>0</v>
      </c>
      <c r="T157" s="12">
        <v>0</v>
      </c>
      <c r="U157" s="12">
        <v>0</v>
      </c>
      <c r="V157" s="10">
        <v>0</v>
      </c>
      <c r="W157" s="12">
        <v>0</v>
      </c>
      <c r="X157" s="12">
        <v>0</v>
      </c>
      <c r="Y157" s="10">
        <v>0</v>
      </c>
    </row>
    <row r="158" spans="1:25" x14ac:dyDescent="0.3">
      <c r="A158" s="9" t="s">
        <v>131</v>
      </c>
      <c r="B158" s="6">
        <v>2022</v>
      </c>
      <c r="C158" s="10">
        <v>157</v>
      </c>
      <c r="D158" s="6" t="s">
        <v>379</v>
      </c>
      <c r="E158" s="6" t="s">
        <v>64</v>
      </c>
      <c r="F158" s="6" t="s">
        <v>374</v>
      </c>
      <c r="G158" s="11" t="s">
        <v>134</v>
      </c>
      <c r="H158" s="6" t="s">
        <v>135</v>
      </c>
      <c r="I158" s="6" t="s">
        <v>135</v>
      </c>
      <c r="J158" s="6" t="s">
        <v>134</v>
      </c>
      <c r="K158" s="12">
        <v>0</v>
      </c>
      <c r="L158" s="12">
        <v>0</v>
      </c>
      <c r="M158" s="10">
        <v>0</v>
      </c>
      <c r="N158" s="12">
        <v>0</v>
      </c>
      <c r="O158" s="12">
        <v>0</v>
      </c>
      <c r="P158" s="10">
        <v>0</v>
      </c>
      <c r="Q158" s="12">
        <v>0</v>
      </c>
      <c r="R158" s="12">
        <v>0</v>
      </c>
      <c r="S158" s="10">
        <v>0</v>
      </c>
      <c r="T158" s="12">
        <v>0</v>
      </c>
      <c r="U158" s="12">
        <v>0</v>
      </c>
      <c r="V158" s="10">
        <v>0</v>
      </c>
      <c r="W158" s="12">
        <v>0</v>
      </c>
      <c r="X158" s="12">
        <v>0</v>
      </c>
      <c r="Y158" s="10">
        <v>0</v>
      </c>
    </row>
    <row r="159" spans="1:25" x14ac:dyDescent="0.3">
      <c r="A159" s="9" t="s">
        <v>131</v>
      </c>
      <c r="B159" s="6">
        <v>2022</v>
      </c>
      <c r="C159" s="10">
        <v>158</v>
      </c>
      <c r="D159" s="6" t="s">
        <v>380</v>
      </c>
      <c r="E159" s="6" t="s">
        <v>64</v>
      </c>
      <c r="F159" s="6" t="s">
        <v>381</v>
      </c>
      <c r="G159" s="11" t="s">
        <v>134</v>
      </c>
      <c r="H159" s="6" t="s">
        <v>135</v>
      </c>
      <c r="I159" s="6" t="s">
        <v>135</v>
      </c>
      <c r="J159" s="6" t="s">
        <v>134</v>
      </c>
      <c r="K159" s="12">
        <v>0</v>
      </c>
      <c r="L159" s="12">
        <v>0</v>
      </c>
      <c r="M159" s="10">
        <v>0</v>
      </c>
      <c r="N159" s="12">
        <v>0</v>
      </c>
      <c r="O159" s="12">
        <v>0</v>
      </c>
      <c r="P159" s="10">
        <v>0</v>
      </c>
      <c r="Q159" s="12">
        <v>0</v>
      </c>
      <c r="R159" s="12">
        <v>0</v>
      </c>
      <c r="S159" s="10">
        <v>0</v>
      </c>
      <c r="T159" s="12">
        <v>0</v>
      </c>
      <c r="U159" s="12">
        <v>0</v>
      </c>
      <c r="V159" s="10">
        <v>0</v>
      </c>
      <c r="W159" s="12">
        <v>0</v>
      </c>
      <c r="X159" s="12">
        <v>0</v>
      </c>
      <c r="Y159" s="10">
        <v>0</v>
      </c>
    </row>
    <row r="160" spans="1:25" x14ac:dyDescent="0.3">
      <c r="A160" s="9" t="s">
        <v>131</v>
      </c>
      <c r="B160" s="6">
        <v>2022</v>
      </c>
      <c r="C160" s="10">
        <v>159</v>
      </c>
      <c r="D160" s="6" t="s">
        <v>382</v>
      </c>
      <c r="E160" s="6" t="s">
        <v>64</v>
      </c>
      <c r="F160" s="6" t="s">
        <v>381</v>
      </c>
      <c r="G160" s="11" t="s">
        <v>134</v>
      </c>
      <c r="H160" s="6" t="s">
        <v>135</v>
      </c>
      <c r="I160" s="6" t="s">
        <v>135</v>
      </c>
      <c r="J160" s="6" t="s">
        <v>134</v>
      </c>
      <c r="K160" s="12">
        <v>0</v>
      </c>
      <c r="L160" s="12">
        <v>0</v>
      </c>
      <c r="M160" s="10">
        <v>0</v>
      </c>
      <c r="N160" s="12">
        <v>0</v>
      </c>
      <c r="O160" s="12">
        <v>0</v>
      </c>
      <c r="P160" s="10">
        <v>0</v>
      </c>
      <c r="Q160" s="12">
        <v>0</v>
      </c>
      <c r="R160" s="12">
        <v>0</v>
      </c>
      <c r="S160" s="10">
        <v>0</v>
      </c>
      <c r="T160" s="12">
        <v>0</v>
      </c>
      <c r="U160" s="12">
        <v>0</v>
      </c>
      <c r="V160" s="10">
        <v>0</v>
      </c>
      <c r="W160" s="12">
        <v>0</v>
      </c>
      <c r="X160" s="12">
        <v>0</v>
      </c>
      <c r="Y160" s="10">
        <v>0</v>
      </c>
    </row>
    <row r="161" spans="1:25" x14ac:dyDescent="0.3">
      <c r="A161" s="9" t="s">
        <v>131</v>
      </c>
      <c r="B161" s="6">
        <v>2022</v>
      </c>
      <c r="C161" s="10">
        <v>160</v>
      </c>
      <c r="D161" s="6" t="s">
        <v>383</v>
      </c>
      <c r="E161" s="6" t="s">
        <v>64</v>
      </c>
      <c r="F161" s="6" t="s">
        <v>381</v>
      </c>
      <c r="G161" s="11" t="s">
        <v>134</v>
      </c>
      <c r="H161" s="6" t="s">
        <v>135</v>
      </c>
      <c r="I161" s="6" t="s">
        <v>135</v>
      </c>
      <c r="J161" s="6" t="s">
        <v>134</v>
      </c>
      <c r="K161" s="12">
        <v>0</v>
      </c>
      <c r="L161" s="12">
        <v>0</v>
      </c>
      <c r="M161" s="10">
        <v>0</v>
      </c>
      <c r="N161" s="12">
        <v>0</v>
      </c>
      <c r="O161" s="12">
        <v>0</v>
      </c>
      <c r="P161" s="10">
        <v>0</v>
      </c>
      <c r="Q161" s="12">
        <v>0</v>
      </c>
      <c r="R161" s="12">
        <v>0</v>
      </c>
      <c r="S161" s="10">
        <v>0</v>
      </c>
      <c r="T161" s="12">
        <v>0</v>
      </c>
      <c r="U161" s="12">
        <v>0</v>
      </c>
      <c r="V161" s="10">
        <v>0</v>
      </c>
      <c r="W161" s="12">
        <v>0</v>
      </c>
      <c r="X161" s="12">
        <v>0</v>
      </c>
      <c r="Y161" s="10">
        <v>0</v>
      </c>
    </row>
    <row r="162" spans="1:25" x14ac:dyDescent="0.3">
      <c r="A162" s="9" t="s">
        <v>131</v>
      </c>
      <c r="B162" s="6">
        <v>2022</v>
      </c>
      <c r="C162" s="10">
        <v>161</v>
      </c>
      <c r="D162" s="6" t="s">
        <v>384</v>
      </c>
      <c r="E162" s="6" t="s">
        <v>64</v>
      </c>
      <c r="F162" s="6" t="s">
        <v>385</v>
      </c>
      <c r="G162" s="11" t="s">
        <v>134</v>
      </c>
      <c r="H162" s="6" t="s">
        <v>135</v>
      </c>
      <c r="I162" s="6" t="s">
        <v>135</v>
      </c>
      <c r="J162" s="6" t="s">
        <v>134</v>
      </c>
      <c r="K162" s="12">
        <v>0</v>
      </c>
      <c r="L162" s="12">
        <v>0</v>
      </c>
      <c r="M162" s="10">
        <v>0</v>
      </c>
      <c r="N162" s="12">
        <v>0</v>
      </c>
      <c r="O162" s="12">
        <v>0</v>
      </c>
      <c r="P162" s="10">
        <v>0</v>
      </c>
      <c r="Q162" s="12">
        <v>0</v>
      </c>
      <c r="R162" s="12">
        <v>0</v>
      </c>
      <c r="S162" s="10">
        <v>0</v>
      </c>
      <c r="T162" s="12">
        <v>0</v>
      </c>
      <c r="U162" s="12">
        <v>0</v>
      </c>
      <c r="V162" s="10">
        <v>0</v>
      </c>
      <c r="W162" s="12">
        <v>0</v>
      </c>
      <c r="X162" s="12">
        <v>0</v>
      </c>
      <c r="Y162" s="10">
        <v>0</v>
      </c>
    </row>
    <row r="163" spans="1:25" x14ac:dyDescent="0.3">
      <c r="A163" s="9" t="s">
        <v>131</v>
      </c>
      <c r="B163" s="6">
        <v>2022</v>
      </c>
      <c r="C163" s="10">
        <v>162</v>
      </c>
      <c r="D163" s="6" t="s">
        <v>386</v>
      </c>
      <c r="E163" s="6" t="s">
        <v>64</v>
      </c>
      <c r="F163" s="6" t="s">
        <v>385</v>
      </c>
      <c r="G163" s="11" t="s">
        <v>134</v>
      </c>
      <c r="H163" s="6" t="s">
        <v>135</v>
      </c>
      <c r="I163" s="6" t="s">
        <v>135</v>
      </c>
      <c r="J163" s="6" t="s">
        <v>134</v>
      </c>
      <c r="K163" s="12">
        <v>0</v>
      </c>
      <c r="L163" s="12">
        <v>0</v>
      </c>
      <c r="M163" s="10">
        <v>0</v>
      </c>
      <c r="N163" s="12">
        <v>0</v>
      </c>
      <c r="O163" s="12">
        <v>0</v>
      </c>
      <c r="P163" s="10">
        <v>0</v>
      </c>
      <c r="Q163" s="12">
        <v>0</v>
      </c>
      <c r="R163" s="12">
        <v>0</v>
      </c>
      <c r="S163" s="10">
        <v>0</v>
      </c>
      <c r="T163" s="12">
        <v>0</v>
      </c>
      <c r="U163" s="12">
        <v>0</v>
      </c>
      <c r="V163" s="10">
        <v>0</v>
      </c>
      <c r="W163" s="12">
        <v>0</v>
      </c>
      <c r="X163" s="12">
        <v>0</v>
      </c>
      <c r="Y163" s="10">
        <v>0</v>
      </c>
    </row>
    <row r="164" spans="1:25" x14ac:dyDescent="0.3">
      <c r="A164" s="9" t="s">
        <v>131</v>
      </c>
      <c r="B164" s="6">
        <v>2022</v>
      </c>
      <c r="C164" s="10">
        <v>163</v>
      </c>
      <c r="D164" s="6" t="s">
        <v>387</v>
      </c>
      <c r="E164" s="6" t="s">
        <v>64</v>
      </c>
      <c r="F164" s="6" t="s">
        <v>385</v>
      </c>
      <c r="G164" s="11" t="s">
        <v>134</v>
      </c>
      <c r="H164" s="6" t="s">
        <v>135</v>
      </c>
      <c r="I164" s="6" t="s">
        <v>135</v>
      </c>
      <c r="J164" s="6" t="s">
        <v>134</v>
      </c>
      <c r="K164" s="12">
        <v>0</v>
      </c>
      <c r="L164" s="12">
        <v>0</v>
      </c>
      <c r="M164" s="10">
        <v>0</v>
      </c>
      <c r="N164" s="12">
        <v>0</v>
      </c>
      <c r="O164" s="12">
        <v>0</v>
      </c>
      <c r="P164" s="10">
        <v>0</v>
      </c>
      <c r="Q164" s="12">
        <v>0</v>
      </c>
      <c r="R164" s="12">
        <v>0</v>
      </c>
      <c r="S164" s="10">
        <v>0</v>
      </c>
      <c r="T164" s="12">
        <v>0</v>
      </c>
      <c r="U164" s="12">
        <v>0</v>
      </c>
      <c r="V164" s="10">
        <v>0</v>
      </c>
      <c r="W164" s="12">
        <v>0</v>
      </c>
      <c r="X164" s="12">
        <v>0</v>
      </c>
      <c r="Y164" s="10">
        <v>0</v>
      </c>
    </row>
    <row r="165" spans="1:25" x14ac:dyDescent="0.3">
      <c r="A165" s="9" t="s">
        <v>131</v>
      </c>
      <c r="B165" s="6">
        <v>2022</v>
      </c>
      <c r="C165" s="10">
        <v>164</v>
      </c>
      <c r="D165" s="6" t="s">
        <v>388</v>
      </c>
      <c r="E165" s="6" t="s">
        <v>64</v>
      </c>
      <c r="F165" s="6" t="s">
        <v>385</v>
      </c>
      <c r="G165" s="11" t="s">
        <v>134</v>
      </c>
      <c r="H165" s="6" t="s">
        <v>135</v>
      </c>
      <c r="I165" s="6" t="s">
        <v>135</v>
      </c>
      <c r="J165" s="6" t="s">
        <v>134</v>
      </c>
      <c r="K165" s="12">
        <v>0</v>
      </c>
      <c r="L165" s="12">
        <v>0</v>
      </c>
      <c r="M165" s="10">
        <v>0</v>
      </c>
      <c r="N165" s="12">
        <v>0</v>
      </c>
      <c r="O165" s="12">
        <v>0</v>
      </c>
      <c r="P165" s="10">
        <v>0</v>
      </c>
      <c r="Q165" s="12">
        <v>0</v>
      </c>
      <c r="R165" s="12">
        <v>0</v>
      </c>
      <c r="S165" s="10">
        <v>0</v>
      </c>
      <c r="T165" s="12">
        <v>0</v>
      </c>
      <c r="U165" s="12">
        <v>0</v>
      </c>
      <c r="V165" s="10">
        <v>0</v>
      </c>
      <c r="W165" s="12">
        <v>0</v>
      </c>
      <c r="X165" s="12">
        <v>0</v>
      </c>
      <c r="Y165" s="10">
        <v>0</v>
      </c>
    </row>
    <row r="166" spans="1:25" x14ac:dyDescent="0.3">
      <c r="A166" s="9" t="s">
        <v>131</v>
      </c>
      <c r="B166" s="6">
        <v>2022</v>
      </c>
      <c r="C166" s="10">
        <v>165</v>
      </c>
      <c r="D166" s="6" t="s">
        <v>389</v>
      </c>
      <c r="E166" s="6" t="s">
        <v>64</v>
      </c>
      <c r="F166" s="6" t="s">
        <v>385</v>
      </c>
      <c r="G166" s="11" t="s">
        <v>134</v>
      </c>
      <c r="H166" s="6" t="s">
        <v>135</v>
      </c>
      <c r="I166" s="6" t="s">
        <v>135</v>
      </c>
      <c r="J166" s="6" t="s">
        <v>134</v>
      </c>
      <c r="K166" s="12">
        <v>0</v>
      </c>
      <c r="L166" s="12">
        <v>0</v>
      </c>
      <c r="M166" s="10">
        <v>0</v>
      </c>
      <c r="N166" s="12">
        <v>0</v>
      </c>
      <c r="O166" s="12">
        <v>0</v>
      </c>
      <c r="P166" s="10">
        <v>0</v>
      </c>
      <c r="Q166" s="12">
        <v>0</v>
      </c>
      <c r="R166" s="12">
        <v>0</v>
      </c>
      <c r="S166" s="10">
        <v>0</v>
      </c>
      <c r="T166" s="12">
        <v>0</v>
      </c>
      <c r="U166" s="12">
        <v>0</v>
      </c>
      <c r="V166" s="10">
        <v>0</v>
      </c>
      <c r="W166" s="12">
        <v>0</v>
      </c>
      <c r="X166" s="12">
        <v>0</v>
      </c>
      <c r="Y166" s="10">
        <v>0</v>
      </c>
    </row>
    <row r="167" spans="1:25" x14ac:dyDescent="0.3">
      <c r="A167" s="9" t="s">
        <v>131</v>
      </c>
      <c r="B167" s="6">
        <v>2022</v>
      </c>
      <c r="C167" s="10">
        <v>166</v>
      </c>
      <c r="D167" s="6" t="s">
        <v>390</v>
      </c>
      <c r="E167" s="6" t="s">
        <v>64</v>
      </c>
      <c r="F167" s="6" t="s">
        <v>385</v>
      </c>
      <c r="G167" s="11" t="s">
        <v>134</v>
      </c>
      <c r="H167" s="6" t="s">
        <v>135</v>
      </c>
      <c r="I167" s="6" t="s">
        <v>135</v>
      </c>
      <c r="J167" s="6" t="s">
        <v>134</v>
      </c>
      <c r="K167" s="12">
        <v>0</v>
      </c>
      <c r="L167" s="12">
        <v>0</v>
      </c>
      <c r="M167" s="10">
        <v>0</v>
      </c>
      <c r="N167" s="12">
        <v>0</v>
      </c>
      <c r="O167" s="12">
        <v>0</v>
      </c>
      <c r="P167" s="10">
        <v>0</v>
      </c>
      <c r="Q167" s="12">
        <v>0</v>
      </c>
      <c r="R167" s="12">
        <v>0</v>
      </c>
      <c r="S167" s="10">
        <v>0</v>
      </c>
      <c r="T167" s="12">
        <v>0</v>
      </c>
      <c r="U167" s="12">
        <v>0</v>
      </c>
      <c r="V167" s="10">
        <v>0</v>
      </c>
      <c r="W167" s="12">
        <v>0</v>
      </c>
      <c r="X167" s="12">
        <v>0</v>
      </c>
      <c r="Y167" s="10">
        <v>0</v>
      </c>
    </row>
    <row r="168" spans="1:25" x14ac:dyDescent="0.3">
      <c r="A168" s="9" t="s">
        <v>131</v>
      </c>
      <c r="B168" s="6">
        <v>2022</v>
      </c>
      <c r="C168" s="10">
        <v>167</v>
      </c>
      <c r="D168" s="6" t="s">
        <v>391</v>
      </c>
      <c r="E168" s="6" t="s">
        <v>64</v>
      </c>
      <c r="F168" s="6" t="s">
        <v>392</v>
      </c>
      <c r="G168" s="11" t="s">
        <v>134</v>
      </c>
      <c r="H168" s="6" t="s">
        <v>135</v>
      </c>
      <c r="I168" s="6" t="s">
        <v>135</v>
      </c>
      <c r="J168" s="6" t="s">
        <v>134</v>
      </c>
      <c r="K168" s="12">
        <v>0</v>
      </c>
      <c r="L168" s="12">
        <v>0</v>
      </c>
      <c r="M168" s="10">
        <v>0</v>
      </c>
      <c r="N168" s="12">
        <v>0</v>
      </c>
      <c r="O168" s="12">
        <v>0</v>
      </c>
      <c r="P168" s="10">
        <v>0</v>
      </c>
      <c r="Q168" s="12">
        <v>0</v>
      </c>
      <c r="R168" s="12">
        <v>0</v>
      </c>
      <c r="S168" s="10">
        <v>0</v>
      </c>
      <c r="T168" s="12">
        <v>0</v>
      </c>
      <c r="U168" s="12">
        <v>0</v>
      </c>
      <c r="V168" s="10">
        <v>0</v>
      </c>
      <c r="W168" s="12">
        <v>0</v>
      </c>
      <c r="X168" s="12">
        <v>0</v>
      </c>
      <c r="Y168" s="10">
        <v>0</v>
      </c>
    </row>
    <row r="169" spans="1:25" x14ac:dyDescent="0.3">
      <c r="A169" s="9" t="s">
        <v>131</v>
      </c>
      <c r="B169" s="6">
        <v>2022</v>
      </c>
      <c r="C169" s="10">
        <v>168</v>
      </c>
      <c r="D169" s="6" t="s">
        <v>393</v>
      </c>
      <c r="E169" s="6" t="s">
        <v>64</v>
      </c>
      <c r="F169" s="6" t="s">
        <v>392</v>
      </c>
      <c r="G169" s="11" t="s">
        <v>134</v>
      </c>
      <c r="H169" s="6" t="s">
        <v>135</v>
      </c>
      <c r="I169" s="6" t="s">
        <v>135</v>
      </c>
      <c r="J169" s="6" t="s">
        <v>134</v>
      </c>
      <c r="K169" s="12">
        <v>0</v>
      </c>
      <c r="L169" s="12">
        <v>0</v>
      </c>
      <c r="M169" s="10">
        <v>0</v>
      </c>
      <c r="N169" s="12">
        <v>0</v>
      </c>
      <c r="O169" s="12">
        <v>0</v>
      </c>
      <c r="P169" s="10">
        <v>0</v>
      </c>
      <c r="Q169" s="12">
        <v>0</v>
      </c>
      <c r="R169" s="12">
        <v>0</v>
      </c>
      <c r="S169" s="10">
        <v>0</v>
      </c>
      <c r="T169" s="12">
        <v>0</v>
      </c>
      <c r="U169" s="12">
        <v>0</v>
      </c>
      <c r="V169" s="10">
        <v>0</v>
      </c>
      <c r="W169" s="12">
        <v>0</v>
      </c>
      <c r="X169" s="12">
        <v>0</v>
      </c>
      <c r="Y169" s="10">
        <v>0</v>
      </c>
    </row>
    <row r="170" spans="1:25" x14ac:dyDescent="0.3">
      <c r="A170" s="9" t="s">
        <v>131</v>
      </c>
      <c r="B170" s="6">
        <v>2022</v>
      </c>
      <c r="C170" s="10">
        <v>169</v>
      </c>
      <c r="D170" s="6" t="s">
        <v>394</v>
      </c>
      <c r="E170" s="6" t="s">
        <v>64</v>
      </c>
      <c r="F170" s="6" t="s">
        <v>392</v>
      </c>
      <c r="G170" s="11" t="s">
        <v>134</v>
      </c>
      <c r="H170" s="6" t="s">
        <v>135</v>
      </c>
      <c r="I170" s="6" t="s">
        <v>135</v>
      </c>
      <c r="J170" s="6" t="s">
        <v>134</v>
      </c>
      <c r="K170" s="12">
        <v>0</v>
      </c>
      <c r="L170" s="12">
        <v>0</v>
      </c>
      <c r="M170" s="10">
        <v>0</v>
      </c>
      <c r="N170" s="12">
        <v>0</v>
      </c>
      <c r="O170" s="12">
        <v>0</v>
      </c>
      <c r="P170" s="10">
        <v>0</v>
      </c>
      <c r="Q170" s="12">
        <v>0</v>
      </c>
      <c r="R170" s="12">
        <v>0</v>
      </c>
      <c r="S170" s="10">
        <v>0</v>
      </c>
      <c r="T170" s="12">
        <v>0</v>
      </c>
      <c r="U170" s="12">
        <v>0</v>
      </c>
      <c r="V170" s="10">
        <v>0</v>
      </c>
      <c r="W170" s="12">
        <v>0</v>
      </c>
      <c r="X170" s="12">
        <v>0</v>
      </c>
      <c r="Y170" s="10">
        <v>0</v>
      </c>
    </row>
    <row r="171" spans="1:25" x14ac:dyDescent="0.3">
      <c r="A171" s="9" t="s">
        <v>131</v>
      </c>
      <c r="B171" s="6">
        <v>2022</v>
      </c>
      <c r="C171" s="10">
        <v>170</v>
      </c>
      <c r="D171" s="6" t="s">
        <v>395</v>
      </c>
      <c r="E171" s="6" t="s">
        <v>64</v>
      </c>
      <c r="F171" s="6" t="s">
        <v>392</v>
      </c>
      <c r="G171" s="11" t="s">
        <v>134</v>
      </c>
      <c r="H171" s="6" t="s">
        <v>135</v>
      </c>
      <c r="I171" s="6" t="s">
        <v>135</v>
      </c>
      <c r="J171" s="6" t="s">
        <v>134</v>
      </c>
      <c r="K171" s="12">
        <v>0</v>
      </c>
      <c r="L171" s="12">
        <v>0</v>
      </c>
      <c r="M171" s="10">
        <v>0</v>
      </c>
      <c r="N171" s="12">
        <v>0</v>
      </c>
      <c r="O171" s="12">
        <v>0</v>
      </c>
      <c r="P171" s="10">
        <v>0</v>
      </c>
      <c r="Q171" s="12">
        <v>0</v>
      </c>
      <c r="R171" s="12">
        <v>0</v>
      </c>
      <c r="S171" s="10">
        <v>0</v>
      </c>
      <c r="T171" s="12">
        <v>0</v>
      </c>
      <c r="U171" s="12">
        <v>0</v>
      </c>
      <c r="V171" s="10">
        <v>0</v>
      </c>
      <c r="W171" s="12">
        <v>0</v>
      </c>
      <c r="X171" s="12">
        <v>0</v>
      </c>
      <c r="Y171" s="10">
        <v>0</v>
      </c>
    </row>
    <row r="172" spans="1:25" x14ac:dyDescent="0.3">
      <c r="A172" s="9" t="s">
        <v>131</v>
      </c>
      <c r="B172" s="6">
        <v>2022</v>
      </c>
      <c r="C172" s="10">
        <v>171</v>
      </c>
      <c r="D172" s="6" t="s">
        <v>396</v>
      </c>
      <c r="E172" s="6" t="s">
        <v>64</v>
      </c>
      <c r="F172" s="6" t="s">
        <v>392</v>
      </c>
      <c r="G172" s="11" t="s">
        <v>134</v>
      </c>
      <c r="H172" s="6" t="s">
        <v>135</v>
      </c>
      <c r="I172" s="6" t="s">
        <v>135</v>
      </c>
      <c r="J172" s="6" t="s">
        <v>134</v>
      </c>
      <c r="K172" s="12">
        <v>0</v>
      </c>
      <c r="L172" s="12">
        <v>0</v>
      </c>
      <c r="M172" s="10">
        <v>0</v>
      </c>
      <c r="N172" s="12">
        <v>0</v>
      </c>
      <c r="O172" s="12">
        <v>0</v>
      </c>
      <c r="P172" s="10">
        <v>0</v>
      </c>
      <c r="Q172" s="12">
        <v>0</v>
      </c>
      <c r="R172" s="12">
        <v>0</v>
      </c>
      <c r="S172" s="10">
        <v>0</v>
      </c>
      <c r="T172" s="12">
        <v>0</v>
      </c>
      <c r="U172" s="12">
        <v>0</v>
      </c>
      <c r="V172" s="10">
        <v>0</v>
      </c>
      <c r="W172" s="12">
        <v>0</v>
      </c>
      <c r="X172" s="12">
        <v>0</v>
      </c>
      <c r="Y172" s="10">
        <v>0</v>
      </c>
    </row>
    <row r="173" spans="1:25" x14ac:dyDescent="0.3">
      <c r="A173" s="9" t="s">
        <v>131</v>
      </c>
      <c r="B173" s="6">
        <v>2022</v>
      </c>
      <c r="C173" s="10">
        <v>172</v>
      </c>
      <c r="D173" s="6" t="s">
        <v>397</v>
      </c>
      <c r="E173" s="6" t="s">
        <v>64</v>
      </c>
      <c r="F173" s="6" t="s">
        <v>398</v>
      </c>
      <c r="G173" s="11" t="s">
        <v>134</v>
      </c>
      <c r="H173" s="6" t="s">
        <v>135</v>
      </c>
      <c r="I173" s="6" t="s">
        <v>135</v>
      </c>
      <c r="J173" s="6" t="s">
        <v>134</v>
      </c>
      <c r="K173" s="12">
        <v>0</v>
      </c>
      <c r="L173" s="12">
        <v>0</v>
      </c>
      <c r="M173" s="10">
        <v>0</v>
      </c>
      <c r="N173" s="12">
        <v>0</v>
      </c>
      <c r="O173" s="12">
        <v>0</v>
      </c>
      <c r="P173" s="10">
        <v>0</v>
      </c>
      <c r="Q173" s="12">
        <v>0</v>
      </c>
      <c r="R173" s="12">
        <v>0</v>
      </c>
      <c r="S173" s="10">
        <v>0</v>
      </c>
      <c r="T173" s="12">
        <v>0</v>
      </c>
      <c r="U173" s="12">
        <v>0</v>
      </c>
      <c r="V173" s="10">
        <v>0</v>
      </c>
      <c r="W173" s="12">
        <v>0</v>
      </c>
      <c r="X173" s="12">
        <v>0</v>
      </c>
      <c r="Y173" s="10">
        <v>0</v>
      </c>
    </row>
    <row r="174" spans="1:25" x14ac:dyDescent="0.3">
      <c r="A174" s="9" t="s">
        <v>131</v>
      </c>
      <c r="B174" s="6">
        <v>2022</v>
      </c>
      <c r="C174" s="10">
        <v>173</v>
      </c>
      <c r="D174" s="6" t="s">
        <v>399</v>
      </c>
      <c r="E174" s="6" t="s">
        <v>64</v>
      </c>
      <c r="F174" s="6" t="s">
        <v>134</v>
      </c>
      <c r="G174" s="13" t="s">
        <v>400</v>
      </c>
      <c r="H174" s="6" t="s">
        <v>135</v>
      </c>
      <c r="I174" s="6" t="s">
        <v>135</v>
      </c>
      <c r="J174" s="6" t="s">
        <v>134</v>
      </c>
      <c r="K174" s="12">
        <v>0</v>
      </c>
      <c r="L174" s="12">
        <v>0</v>
      </c>
      <c r="M174" s="10">
        <v>0</v>
      </c>
      <c r="N174" s="12">
        <v>0</v>
      </c>
      <c r="O174" s="12">
        <v>0</v>
      </c>
      <c r="P174" s="10">
        <v>0</v>
      </c>
      <c r="Q174" s="12">
        <v>0</v>
      </c>
      <c r="R174" s="12">
        <v>0</v>
      </c>
      <c r="S174" s="10">
        <v>0</v>
      </c>
      <c r="T174" s="12">
        <v>0</v>
      </c>
      <c r="U174" s="12">
        <v>0</v>
      </c>
      <c r="V174" s="10">
        <v>0</v>
      </c>
      <c r="W174" s="12">
        <v>0</v>
      </c>
      <c r="X174" s="12">
        <v>0</v>
      </c>
      <c r="Y174" s="10">
        <v>0</v>
      </c>
    </row>
    <row r="175" spans="1:25" x14ac:dyDescent="0.3">
      <c r="A175" s="9" t="s">
        <v>131</v>
      </c>
      <c r="B175" s="6">
        <v>2022</v>
      </c>
      <c r="C175" s="10">
        <v>174</v>
      </c>
      <c r="D175" s="6" t="s">
        <v>401</v>
      </c>
      <c r="E175" s="6" t="s">
        <v>64</v>
      </c>
      <c r="F175" s="6" t="s">
        <v>402</v>
      </c>
      <c r="G175" s="11" t="s">
        <v>134</v>
      </c>
      <c r="H175" s="6" t="s">
        <v>135</v>
      </c>
      <c r="I175" s="6" t="s">
        <v>135</v>
      </c>
      <c r="J175" s="6" t="s">
        <v>134</v>
      </c>
      <c r="K175" s="12">
        <v>0</v>
      </c>
      <c r="L175" s="12">
        <v>0</v>
      </c>
      <c r="M175" s="10">
        <v>0</v>
      </c>
      <c r="N175" s="12">
        <v>0</v>
      </c>
      <c r="O175" s="12">
        <v>0</v>
      </c>
      <c r="P175" s="10">
        <v>0</v>
      </c>
      <c r="Q175" s="12">
        <v>0</v>
      </c>
      <c r="R175" s="12">
        <v>0</v>
      </c>
      <c r="S175" s="10">
        <v>0</v>
      </c>
      <c r="T175" s="12">
        <v>0</v>
      </c>
      <c r="U175" s="12">
        <v>0</v>
      </c>
      <c r="V175" s="10">
        <v>0</v>
      </c>
      <c r="W175" s="12">
        <v>0</v>
      </c>
      <c r="X175" s="12">
        <v>0</v>
      </c>
      <c r="Y175" s="10">
        <v>0</v>
      </c>
    </row>
    <row r="176" spans="1:25" x14ac:dyDescent="0.3">
      <c r="A176" s="9" t="s">
        <v>131</v>
      </c>
      <c r="B176" s="6">
        <v>2022</v>
      </c>
      <c r="C176" s="10">
        <v>175</v>
      </c>
      <c r="D176" s="6" t="s">
        <v>403</v>
      </c>
      <c r="E176" s="6" t="s">
        <v>64</v>
      </c>
      <c r="F176" s="6" t="s">
        <v>404</v>
      </c>
      <c r="G176" s="11" t="s">
        <v>134</v>
      </c>
      <c r="H176" s="6" t="s">
        <v>135</v>
      </c>
      <c r="I176" s="6" t="s">
        <v>135</v>
      </c>
      <c r="J176" s="6" t="s">
        <v>134</v>
      </c>
      <c r="K176" s="12">
        <v>0</v>
      </c>
      <c r="L176" s="12">
        <v>0</v>
      </c>
      <c r="M176" s="10">
        <v>0</v>
      </c>
      <c r="N176" s="12">
        <v>0</v>
      </c>
      <c r="O176" s="12">
        <v>0</v>
      </c>
      <c r="P176" s="10">
        <v>0</v>
      </c>
      <c r="Q176" s="12">
        <v>0</v>
      </c>
      <c r="R176" s="12">
        <v>0</v>
      </c>
      <c r="S176" s="10">
        <v>0</v>
      </c>
      <c r="T176" s="12">
        <v>0</v>
      </c>
      <c r="U176" s="12">
        <v>0</v>
      </c>
      <c r="V176" s="10">
        <v>0</v>
      </c>
      <c r="W176" s="12">
        <v>0</v>
      </c>
      <c r="X176" s="12">
        <v>0</v>
      </c>
      <c r="Y176" s="10">
        <v>0</v>
      </c>
    </row>
    <row r="177" spans="1:25" x14ac:dyDescent="0.3">
      <c r="A177" s="9" t="s">
        <v>131</v>
      </c>
      <c r="B177" s="6">
        <v>2022</v>
      </c>
      <c r="C177" s="10">
        <v>176</v>
      </c>
      <c r="D177" s="6" t="s">
        <v>405</v>
      </c>
      <c r="E177" s="6" t="s">
        <v>64</v>
      </c>
      <c r="F177" s="6" t="s">
        <v>406</v>
      </c>
      <c r="G177" s="11" t="s">
        <v>134</v>
      </c>
      <c r="H177" s="6" t="s">
        <v>135</v>
      </c>
      <c r="I177" s="6" t="s">
        <v>135</v>
      </c>
      <c r="J177" s="6" t="s">
        <v>134</v>
      </c>
      <c r="K177" s="12">
        <v>0</v>
      </c>
      <c r="L177" s="12">
        <v>0</v>
      </c>
      <c r="M177" s="10">
        <v>0</v>
      </c>
      <c r="N177" s="12">
        <v>0</v>
      </c>
      <c r="O177" s="12">
        <v>0</v>
      </c>
      <c r="P177" s="10">
        <v>0</v>
      </c>
      <c r="Q177" s="12">
        <v>0</v>
      </c>
      <c r="R177" s="12">
        <v>0</v>
      </c>
      <c r="S177" s="10">
        <v>0</v>
      </c>
      <c r="T177" s="12">
        <v>0</v>
      </c>
      <c r="U177" s="12">
        <v>0</v>
      </c>
      <c r="V177" s="10">
        <v>0</v>
      </c>
      <c r="W177" s="12">
        <v>0</v>
      </c>
      <c r="X177" s="12">
        <v>0</v>
      </c>
      <c r="Y177" s="10">
        <v>0</v>
      </c>
    </row>
    <row r="178" spans="1:25" x14ac:dyDescent="0.3">
      <c r="A178" s="9" t="s">
        <v>131</v>
      </c>
      <c r="B178" s="6">
        <v>2022</v>
      </c>
      <c r="C178" s="10">
        <v>177</v>
      </c>
      <c r="D178" s="6" t="s">
        <v>407</v>
      </c>
      <c r="E178" s="6" t="s">
        <v>64</v>
      </c>
      <c r="F178" s="6" t="s">
        <v>408</v>
      </c>
      <c r="G178" s="11" t="s">
        <v>134</v>
      </c>
      <c r="H178" s="6" t="s">
        <v>135</v>
      </c>
      <c r="I178" s="6" t="s">
        <v>135</v>
      </c>
      <c r="J178" s="6" t="s">
        <v>134</v>
      </c>
      <c r="K178" s="12">
        <v>0</v>
      </c>
      <c r="L178" s="12">
        <v>0</v>
      </c>
      <c r="M178" s="10">
        <v>0</v>
      </c>
      <c r="N178" s="12">
        <v>0</v>
      </c>
      <c r="O178" s="12">
        <v>0</v>
      </c>
      <c r="P178" s="10">
        <v>0</v>
      </c>
      <c r="Q178" s="12">
        <v>0</v>
      </c>
      <c r="R178" s="12">
        <v>0</v>
      </c>
      <c r="S178" s="10">
        <v>0</v>
      </c>
      <c r="T178" s="12">
        <v>0</v>
      </c>
      <c r="U178" s="12">
        <v>0</v>
      </c>
      <c r="V178" s="10">
        <v>0</v>
      </c>
      <c r="W178" s="12">
        <v>0</v>
      </c>
      <c r="X178" s="12">
        <v>0</v>
      </c>
      <c r="Y178" s="10">
        <v>0</v>
      </c>
    </row>
    <row r="179" spans="1:25" x14ac:dyDescent="0.3">
      <c r="A179" s="9" t="s">
        <v>131</v>
      </c>
      <c r="B179" s="6">
        <v>2022</v>
      </c>
      <c r="C179" s="10">
        <v>178</v>
      </c>
      <c r="D179" s="6" t="s">
        <v>409</v>
      </c>
      <c r="E179" s="6" t="s">
        <v>64</v>
      </c>
      <c r="F179" s="6" t="s">
        <v>410</v>
      </c>
      <c r="G179" s="11" t="s">
        <v>134</v>
      </c>
      <c r="H179" s="6" t="s">
        <v>135</v>
      </c>
      <c r="I179" s="6" t="s">
        <v>135</v>
      </c>
      <c r="J179" s="6" t="s">
        <v>134</v>
      </c>
      <c r="K179" s="12">
        <v>0</v>
      </c>
      <c r="L179" s="12">
        <v>0</v>
      </c>
      <c r="M179" s="10">
        <v>0</v>
      </c>
      <c r="N179" s="12">
        <v>0</v>
      </c>
      <c r="O179" s="12">
        <v>0</v>
      </c>
      <c r="P179" s="10">
        <v>0</v>
      </c>
      <c r="Q179" s="12">
        <v>0</v>
      </c>
      <c r="R179" s="12">
        <v>0</v>
      </c>
      <c r="S179" s="10">
        <v>0</v>
      </c>
      <c r="T179" s="12">
        <v>0</v>
      </c>
      <c r="U179" s="12">
        <v>0</v>
      </c>
      <c r="V179" s="10">
        <v>0</v>
      </c>
      <c r="W179" s="12">
        <v>0</v>
      </c>
      <c r="X179" s="12">
        <v>0</v>
      </c>
      <c r="Y179" s="10">
        <v>0</v>
      </c>
    </row>
    <row r="180" spans="1:25" x14ac:dyDescent="0.3">
      <c r="A180" s="9" t="s">
        <v>131</v>
      </c>
      <c r="B180" s="6">
        <v>2022</v>
      </c>
      <c r="C180" s="10">
        <v>179</v>
      </c>
      <c r="D180" s="6" t="s">
        <v>411</v>
      </c>
      <c r="E180" s="6" t="s">
        <v>64</v>
      </c>
      <c r="F180" s="6" t="s">
        <v>412</v>
      </c>
      <c r="G180" s="11" t="s">
        <v>134</v>
      </c>
      <c r="H180" s="6" t="s">
        <v>135</v>
      </c>
      <c r="I180" s="6" t="s">
        <v>135</v>
      </c>
      <c r="J180" s="6" t="s">
        <v>134</v>
      </c>
      <c r="K180" s="12">
        <v>0</v>
      </c>
      <c r="L180" s="12">
        <v>0</v>
      </c>
      <c r="M180" s="10">
        <v>0</v>
      </c>
      <c r="N180" s="12">
        <v>0</v>
      </c>
      <c r="O180" s="12">
        <v>0</v>
      </c>
      <c r="P180" s="10">
        <v>0</v>
      </c>
      <c r="Q180" s="12">
        <v>0</v>
      </c>
      <c r="R180" s="12">
        <v>0</v>
      </c>
      <c r="S180" s="10">
        <v>0</v>
      </c>
      <c r="T180" s="12">
        <v>0</v>
      </c>
      <c r="U180" s="12">
        <v>0</v>
      </c>
      <c r="V180" s="10">
        <v>0</v>
      </c>
      <c r="W180" s="12">
        <v>0</v>
      </c>
      <c r="X180" s="12">
        <v>0</v>
      </c>
      <c r="Y180" s="10">
        <v>0</v>
      </c>
    </row>
    <row r="181" spans="1:25" x14ac:dyDescent="0.3">
      <c r="A181" s="9" t="s">
        <v>131</v>
      </c>
      <c r="B181" s="6">
        <v>2022</v>
      </c>
      <c r="C181" s="10">
        <v>180</v>
      </c>
      <c r="D181" s="6" t="s">
        <v>413</v>
      </c>
      <c r="E181" s="6" t="s">
        <v>64</v>
      </c>
      <c r="F181" s="6" t="s">
        <v>414</v>
      </c>
      <c r="G181" s="11" t="s">
        <v>134</v>
      </c>
      <c r="H181" s="6" t="s">
        <v>135</v>
      </c>
      <c r="I181" s="6" t="s">
        <v>135</v>
      </c>
      <c r="J181" s="6" t="s">
        <v>134</v>
      </c>
      <c r="K181" s="12">
        <v>0</v>
      </c>
      <c r="L181" s="12">
        <v>0</v>
      </c>
      <c r="M181" s="10">
        <v>0</v>
      </c>
      <c r="N181" s="12">
        <v>0</v>
      </c>
      <c r="O181" s="12">
        <v>0</v>
      </c>
      <c r="P181" s="10">
        <v>0</v>
      </c>
      <c r="Q181" s="12">
        <v>0</v>
      </c>
      <c r="R181" s="12">
        <v>0</v>
      </c>
      <c r="S181" s="10">
        <v>0</v>
      </c>
      <c r="T181" s="12">
        <v>0</v>
      </c>
      <c r="U181" s="12">
        <v>0</v>
      </c>
      <c r="V181" s="10">
        <v>0</v>
      </c>
      <c r="W181" s="12">
        <v>0</v>
      </c>
      <c r="X181" s="12">
        <v>0</v>
      </c>
      <c r="Y181" s="10">
        <v>0</v>
      </c>
    </row>
    <row r="182" spans="1:25" x14ac:dyDescent="0.3">
      <c r="A182" s="9" t="s">
        <v>131</v>
      </c>
      <c r="B182" s="6">
        <v>2022</v>
      </c>
      <c r="C182" s="10">
        <v>181</v>
      </c>
      <c r="D182" s="6" t="s">
        <v>415</v>
      </c>
      <c r="E182" s="6" t="s">
        <v>64</v>
      </c>
      <c r="F182" s="6" t="s">
        <v>416</v>
      </c>
      <c r="G182" s="11" t="s">
        <v>134</v>
      </c>
      <c r="H182" s="6" t="s">
        <v>135</v>
      </c>
      <c r="I182" s="6" t="s">
        <v>135</v>
      </c>
      <c r="J182" s="6" t="s">
        <v>134</v>
      </c>
      <c r="K182" s="12">
        <v>0</v>
      </c>
      <c r="L182" s="12">
        <v>0</v>
      </c>
      <c r="M182" s="10">
        <v>0</v>
      </c>
      <c r="N182" s="12">
        <v>0</v>
      </c>
      <c r="O182" s="12">
        <v>0</v>
      </c>
      <c r="P182" s="10">
        <v>0</v>
      </c>
      <c r="Q182" s="12">
        <v>0</v>
      </c>
      <c r="R182" s="12">
        <v>0</v>
      </c>
      <c r="S182" s="10">
        <v>0</v>
      </c>
      <c r="T182" s="12">
        <v>0</v>
      </c>
      <c r="U182" s="12">
        <v>0</v>
      </c>
      <c r="V182" s="10">
        <v>0</v>
      </c>
      <c r="W182" s="12">
        <v>0</v>
      </c>
      <c r="X182" s="12">
        <v>0</v>
      </c>
      <c r="Y182" s="10">
        <v>0</v>
      </c>
    </row>
    <row r="183" spans="1:25" x14ac:dyDescent="0.3">
      <c r="A183" s="9" t="s">
        <v>131</v>
      </c>
      <c r="B183" s="6">
        <v>2022</v>
      </c>
      <c r="C183" s="10">
        <v>182</v>
      </c>
      <c r="D183" s="6" t="s">
        <v>417</v>
      </c>
      <c r="E183" s="6" t="s">
        <v>64</v>
      </c>
      <c r="F183" s="6" t="s">
        <v>418</v>
      </c>
      <c r="G183" s="11" t="s">
        <v>134</v>
      </c>
      <c r="H183" s="6" t="s">
        <v>135</v>
      </c>
      <c r="I183" s="6" t="s">
        <v>135</v>
      </c>
      <c r="J183" s="6" t="s">
        <v>134</v>
      </c>
      <c r="K183" s="12">
        <v>0</v>
      </c>
      <c r="L183" s="12">
        <v>0</v>
      </c>
      <c r="M183" s="10">
        <v>0</v>
      </c>
      <c r="N183" s="12">
        <v>0</v>
      </c>
      <c r="O183" s="12">
        <v>0</v>
      </c>
      <c r="P183" s="10">
        <v>0</v>
      </c>
      <c r="Q183" s="12">
        <v>0</v>
      </c>
      <c r="R183" s="12">
        <v>0</v>
      </c>
      <c r="S183" s="10">
        <v>0</v>
      </c>
      <c r="T183" s="12">
        <v>0</v>
      </c>
      <c r="U183" s="12">
        <v>0</v>
      </c>
      <c r="V183" s="10">
        <v>0</v>
      </c>
      <c r="W183" s="12">
        <v>0</v>
      </c>
      <c r="X183" s="12">
        <v>0</v>
      </c>
      <c r="Y183" s="10">
        <v>0</v>
      </c>
    </row>
    <row r="184" spans="1:25" x14ac:dyDescent="0.3">
      <c r="A184" s="9" t="s">
        <v>131</v>
      </c>
      <c r="B184" s="6">
        <v>2022</v>
      </c>
      <c r="C184" s="10">
        <v>183</v>
      </c>
      <c r="D184" s="6" t="s">
        <v>419</v>
      </c>
      <c r="E184" s="6" t="s">
        <v>64</v>
      </c>
      <c r="F184" s="6" t="s">
        <v>420</v>
      </c>
      <c r="G184" s="11" t="s">
        <v>134</v>
      </c>
      <c r="H184" s="6" t="s">
        <v>135</v>
      </c>
      <c r="I184" s="6" t="s">
        <v>135</v>
      </c>
      <c r="J184" s="6" t="s">
        <v>134</v>
      </c>
      <c r="K184" s="12">
        <v>0</v>
      </c>
      <c r="L184" s="12">
        <v>0</v>
      </c>
      <c r="M184" s="10">
        <v>0</v>
      </c>
      <c r="N184" s="12">
        <v>0</v>
      </c>
      <c r="O184" s="12">
        <v>0</v>
      </c>
      <c r="P184" s="10">
        <v>0</v>
      </c>
      <c r="Q184" s="12">
        <v>0</v>
      </c>
      <c r="R184" s="12">
        <v>0</v>
      </c>
      <c r="S184" s="10">
        <v>0</v>
      </c>
      <c r="T184" s="12">
        <v>0</v>
      </c>
      <c r="U184" s="12">
        <v>0</v>
      </c>
      <c r="V184" s="10">
        <v>0</v>
      </c>
      <c r="W184" s="12">
        <v>0</v>
      </c>
      <c r="X184" s="12">
        <v>0</v>
      </c>
      <c r="Y184" s="10">
        <v>0</v>
      </c>
    </row>
    <row r="185" spans="1:25" x14ac:dyDescent="0.3">
      <c r="A185" s="9" t="s">
        <v>131</v>
      </c>
      <c r="B185" s="6">
        <v>2022</v>
      </c>
      <c r="C185" s="10">
        <v>184</v>
      </c>
      <c r="D185" s="6" t="s">
        <v>421</v>
      </c>
      <c r="E185" s="6" t="s">
        <v>64</v>
      </c>
      <c r="F185" s="6" t="s">
        <v>422</v>
      </c>
      <c r="G185" s="11" t="s">
        <v>134</v>
      </c>
      <c r="H185" s="6" t="s">
        <v>135</v>
      </c>
      <c r="I185" s="6" t="s">
        <v>135</v>
      </c>
      <c r="J185" s="6" t="s">
        <v>134</v>
      </c>
      <c r="K185" s="12">
        <v>0</v>
      </c>
      <c r="L185" s="12">
        <v>0</v>
      </c>
      <c r="M185" s="10">
        <v>0</v>
      </c>
      <c r="N185" s="12">
        <v>0</v>
      </c>
      <c r="O185" s="12">
        <v>0</v>
      </c>
      <c r="P185" s="10">
        <v>0</v>
      </c>
      <c r="Q185" s="12">
        <v>0</v>
      </c>
      <c r="R185" s="12">
        <v>0</v>
      </c>
      <c r="S185" s="10">
        <v>0</v>
      </c>
      <c r="T185" s="12">
        <v>0</v>
      </c>
      <c r="U185" s="12">
        <v>0</v>
      </c>
      <c r="V185" s="10">
        <v>0</v>
      </c>
      <c r="W185" s="12">
        <v>0</v>
      </c>
      <c r="X185" s="12">
        <v>0</v>
      </c>
      <c r="Y185" s="10">
        <v>0</v>
      </c>
    </row>
    <row r="186" spans="1:25" x14ac:dyDescent="0.3">
      <c r="A186" s="9" t="s">
        <v>131</v>
      </c>
      <c r="B186" s="6">
        <v>2022</v>
      </c>
      <c r="C186" s="10">
        <v>185</v>
      </c>
      <c r="D186" s="6" t="s">
        <v>423</v>
      </c>
      <c r="E186" s="6" t="s">
        <v>64</v>
      </c>
      <c r="F186" s="6" t="s">
        <v>424</v>
      </c>
      <c r="G186" s="11" t="s">
        <v>134</v>
      </c>
      <c r="H186" s="6" t="s">
        <v>135</v>
      </c>
      <c r="I186" s="6" t="s">
        <v>135</v>
      </c>
      <c r="J186" s="6" t="s">
        <v>134</v>
      </c>
      <c r="K186" s="12">
        <v>0</v>
      </c>
      <c r="L186" s="12">
        <v>0</v>
      </c>
      <c r="M186" s="10">
        <v>0</v>
      </c>
      <c r="N186" s="12">
        <v>0</v>
      </c>
      <c r="O186" s="12">
        <v>0</v>
      </c>
      <c r="P186" s="10">
        <v>0</v>
      </c>
      <c r="Q186" s="12">
        <v>0</v>
      </c>
      <c r="R186" s="12">
        <v>0</v>
      </c>
      <c r="S186" s="10">
        <v>0</v>
      </c>
      <c r="T186" s="12">
        <v>0</v>
      </c>
      <c r="U186" s="12">
        <v>0</v>
      </c>
      <c r="V186" s="10">
        <v>0</v>
      </c>
      <c r="W186" s="12">
        <v>0</v>
      </c>
      <c r="X186" s="12">
        <v>0</v>
      </c>
      <c r="Y186" s="10">
        <v>0</v>
      </c>
    </row>
    <row r="187" spans="1:25" x14ac:dyDescent="0.3">
      <c r="A187" s="9" t="s">
        <v>131</v>
      </c>
      <c r="B187" s="6">
        <v>2022</v>
      </c>
      <c r="C187" s="10">
        <v>186</v>
      </c>
      <c r="D187" s="6" t="s">
        <v>425</v>
      </c>
      <c r="E187" s="6" t="s">
        <v>64</v>
      </c>
      <c r="F187" s="6" t="s">
        <v>426</v>
      </c>
      <c r="G187" s="11" t="s">
        <v>134</v>
      </c>
      <c r="H187" s="6" t="s">
        <v>135</v>
      </c>
      <c r="I187" s="6" t="s">
        <v>135</v>
      </c>
      <c r="J187" s="6" t="s">
        <v>134</v>
      </c>
      <c r="K187" s="12">
        <v>0</v>
      </c>
      <c r="L187" s="12">
        <v>0</v>
      </c>
      <c r="M187" s="10">
        <v>0</v>
      </c>
      <c r="N187" s="12">
        <v>0</v>
      </c>
      <c r="O187" s="12">
        <v>0</v>
      </c>
      <c r="P187" s="10">
        <v>0</v>
      </c>
      <c r="Q187" s="12">
        <v>0</v>
      </c>
      <c r="R187" s="12">
        <v>0</v>
      </c>
      <c r="S187" s="10">
        <v>0</v>
      </c>
      <c r="T187" s="12">
        <v>0</v>
      </c>
      <c r="U187" s="12">
        <v>0</v>
      </c>
      <c r="V187" s="10">
        <v>0</v>
      </c>
      <c r="W187" s="12">
        <v>0</v>
      </c>
      <c r="X187" s="12">
        <v>0</v>
      </c>
      <c r="Y187" s="10">
        <v>0</v>
      </c>
    </row>
    <row r="188" spans="1:25" x14ac:dyDescent="0.3">
      <c r="A188" s="9" t="s">
        <v>131</v>
      </c>
      <c r="B188" s="6">
        <v>2022</v>
      </c>
      <c r="C188" s="10">
        <v>187</v>
      </c>
      <c r="D188" s="6" t="s">
        <v>427</v>
      </c>
      <c r="E188" s="6" t="s">
        <v>64</v>
      </c>
      <c r="F188" s="6" t="s">
        <v>134</v>
      </c>
      <c r="G188" s="13" t="s">
        <v>428</v>
      </c>
      <c r="H188" s="6" t="s">
        <v>135</v>
      </c>
      <c r="I188" s="6" t="s">
        <v>135</v>
      </c>
      <c r="J188" s="6" t="s">
        <v>134</v>
      </c>
      <c r="K188" s="12">
        <v>0</v>
      </c>
      <c r="L188" s="12">
        <v>0</v>
      </c>
      <c r="M188" s="10">
        <v>0</v>
      </c>
      <c r="N188" s="12">
        <v>0</v>
      </c>
      <c r="O188" s="12">
        <v>0</v>
      </c>
      <c r="P188" s="10">
        <v>0</v>
      </c>
      <c r="Q188" s="12">
        <v>0</v>
      </c>
      <c r="R188" s="12">
        <v>0</v>
      </c>
      <c r="S188" s="10">
        <v>0</v>
      </c>
      <c r="T188" s="12">
        <v>0</v>
      </c>
      <c r="U188" s="12">
        <v>0</v>
      </c>
      <c r="V188" s="10">
        <v>0</v>
      </c>
      <c r="W188" s="12">
        <v>0</v>
      </c>
      <c r="X188" s="12">
        <v>0</v>
      </c>
      <c r="Y188" s="10">
        <v>0</v>
      </c>
    </row>
    <row r="189" spans="1:25" x14ac:dyDescent="0.3">
      <c r="A189" s="9" t="s">
        <v>131</v>
      </c>
      <c r="B189" s="6">
        <v>2022</v>
      </c>
      <c r="C189" s="10">
        <v>188</v>
      </c>
      <c r="D189" s="6" t="s">
        <v>429</v>
      </c>
      <c r="E189" s="6" t="s">
        <v>64</v>
      </c>
      <c r="F189" s="6" t="s">
        <v>134</v>
      </c>
      <c r="G189" s="13" t="s">
        <v>430</v>
      </c>
      <c r="H189" s="6" t="s">
        <v>135</v>
      </c>
      <c r="I189" s="6" t="s">
        <v>135</v>
      </c>
      <c r="J189" s="6" t="s">
        <v>134</v>
      </c>
      <c r="K189" s="12">
        <v>0</v>
      </c>
      <c r="L189" s="12">
        <v>0</v>
      </c>
      <c r="M189" s="10">
        <v>0</v>
      </c>
      <c r="N189" s="12">
        <v>0</v>
      </c>
      <c r="O189" s="12">
        <v>0</v>
      </c>
      <c r="P189" s="10">
        <v>0</v>
      </c>
      <c r="Q189" s="12">
        <v>0</v>
      </c>
      <c r="R189" s="12">
        <v>0</v>
      </c>
      <c r="S189" s="10">
        <v>0</v>
      </c>
      <c r="T189" s="12">
        <v>0</v>
      </c>
      <c r="U189" s="12">
        <v>0</v>
      </c>
      <c r="V189" s="10">
        <v>0</v>
      </c>
      <c r="W189" s="12">
        <v>0</v>
      </c>
      <c r="X189" s="12">
        <v>0</v>
      </c>
      <c r="Y189" s="10">
        <v>0</v>
      </c>
    </row>
    <row r="190" spans="1:25" x14ac:dyDescent="0.3">
      <c r="A190" s="9" t="s">
        <v>131</v>
      </c>
      <c r="B190" s="6">
        <v>2022</v>
      </c>
      <c r="C190" s="10">
        <v>189</v>
      </c>
      <c r="D190" s="6" t="s">
        <v>431</v>
      </c>
      <c r="E190" s="6" t="s">
        <v>64</v>
      </c>
      <c r="F190" s="6" t="s">
        <v>432</v>
      </c>
      <c r="G190" s="11" t="s">
        <v>134</v>
      </c>
      <c r="H190" s="6" t="s">
        <v>135</v>
      </c>
      <c r="I190" s="6" t="s">
        <v>135</v>
      </c>
      <c r="J190" s="6" t="s">
        <v>134</v>
      </c>
      <c r="K190" s="12">
        <v>100</v>
      </c>
      <c r="L190" s="12">
        <v>27</v>
      </c>
      <c r="M190" s="10">
        <v>200</v>
      </c>
      <c r="N190" s="12">
        <v>0</v>
      </c>
      <c r="O190" s="12">
        <v>0</v>
      </c>
      <c r="P190" s="10">
        <v>0</v>
      </c>
      <c r="Q190" s="12">
        <v>0</v>
      </c>
      <c r="R190" s="12">
        <v>0</v>
      </c>
      <c r="S190" s="10">
        <v>0</v>
      </c>
      <c r="T190" s="12">
        <v>0</v>
      </c>
      <c r="U190" s="12">
        <v>0</v>
      </c>
      <c r="V190" s="10">
        <v>0</v>
      </c>
      <c r="W190" s="12">
        <v>0</v>
      </c>
      <c r="X190" s="12">
        <v>0</v>
      </c>
      <c r="Y190" s="10">
        <v>0</v>
      </c>
    </row>
    <row r="191" spans="1:25" x14ac:dyDescent="0.3">
      <c r="A191" s="9" t="s">
        <v>131</v>
      </c>
      <c r="B191" s="6">
        <v>2022</v>
      </c>
      <c r="C191" s="10">
        <v>190</v>
      </c>
      <c r="D191" s="6" t="s">
        <v>433</v>
      </c>
      <c r="E191" s="6" t="s">
        <v>64</v>
      </c>
      <c r="F191" s="6" t="s">
        <v>134</v>
      </c>
      <c r="G191" s="13" t="s">
        <v>1966</v>
      </c>
      <c r="H191" s="6" t="s">
        <v>135</v>
      </c>
      <c r="I191" s="6" t="s">
        <v>135</v>
      </c>
      <c r="J191" s="6" t="s">
        <v>134</v>
      </c>
      <c r="K191" s="12">
        <v>0</v>
      </c>
      <c r="L191" s="12">
        <v>0</v>
      </c>
      <c r="M191" s="10">
        <v>0</v>
      </c>
      <c r="N191" s="12">
        <v>0</v>
      </c>
      <c r="O191" s="12">
        <v>0</v>
      </c>
      <c r="P191" s="10">
        <v>0</v>
      </c>
      <c r="Q191" s="12">
        <v>0</v>
      </c>
      <c r="R191" s="12">
        <v>0</v>
      </c>
      <c r="S191" s="10">
        <v>0</v>
      </c>
      <c r="T191" s="12">
        <v>0</v>
      </c>
      <c r="U191" s="12">
        <v>0</v>
      </c>
      <c r="V191" s="10">
        <v>0</v>
      </c>
      <c r="W191" s="12">
        <v>0</v>
      </c>
      <c r="X191" s="12">
        <v>0</v>
      </c>
      <c r="Y191" s="10">
        <v>0</v>
      </c>
    </row>
    <row r="192" spans="1:25" x14ac:dyDescent="0.3">
      <c r="A192" s="9" t="s">
        <v>131</v>
      </c>
      <c r="B192" s="6">
        <v>2022</v>
      </c>
      <c r="C192" s="10">
        <v>191</v>
      </c>
      <c r="D192" s="6" t="s">
        <v>434</v>
      </c>
      <c r="E192" s="6" t="s">
        <v>64</v>
      </c>
      <c r="F192" s="6" t="s">
        <v>435</v>
      </c>
      <c r="G192" s="11" t="s">
        <v>134</v>
      </c>
      <c r="H192" s="6" t="s">
        <v>135</v>
      </c>
      <c r="I192" s="6" t="s">
        <v>135</v>
      </c>
      <c r="J192" s="6" t="s">
        <v>134</v>
      </c>
      <c r="K192" s="12">
        <v>100</v>
      </c>
      <c r="L192" s="12">
        <v>27</v>
      </c>
      <c r="M192" s="10">
        <v>200</v>
      </c>
      <c r="N192" s="12">
        <v>0</v>
      </c>
      <c r="O192" s="12">
        <v>0</v>
      </c>
      <c r="P192" s="10">
        <v>0</v>
      </c>
      <c r="Q192" s="12">
        <v>0</v>
      </c>
      <c r="R192" s="12">
        <v>0</v>
      </c>
      <c r="S192" s="10">
        <v>0</v>
      </c>
      <c r="T192" s="12">
        <v>0</v>
      </c>
      <c r="U192" s="12">
        <v>0</v>
      </c>
      <c r="V192" s="10">
        <v>0</v>
      </c>
      <c r="W192" s="12">
        <v>0</v>
      </c>
      <c r="X192" s="12">
        <v>0</v>
      </c>
      <c r="Y192" s="10">
        <v>0</v>
      </c>
    </row>
    <row r="193" spans="1:25" x14ac:dyDescent="0.3">
      <c r="A193" s="9" t="s">
        <v>131</v>
      </c>
      <c r="B193" s="6">
        <v>2022</v>
      </c>
      <c r="C193" s="10">
        <v>192</v>
      </c>
      <c r="D193" s="6" t="s">
        <v>436</v>
      </c>
      <c r="E193" s="6" t="s">
        <v>64</v>
      </c>
      <c r="F193" s="6" t="s">
        <v>437</v>
      </c>
      <c r="G193" s="11" t="s">
        <v>134</v>
      </c>
      <c r="H193" s="6" t="s">
        <v>135</v>
      </c>
      <c r="I193" s="6" t="s">
        <v>135</v>
      </c>
      <c r="J193" s="6" t="s">
        <v>134</v>
      </c>
      <c r="K193" s="12">
        <v>100</v>
      </c>
      <c r="L193" s="12">
        <v>27</v>
      </c>
      <c r="M193" s="10">
        <v>200</v>
      </c>
      <c r="N193" s="12">
        <v>0</v>
      </c>
      <c r="O193" s="12">
        <v>0</v>
      </c>
      <c r="P193" s="10">
        <v>0</v>
      </c>
      <c r="Q193" s="12">
        <v>0</v>
      </c>
      <c r="R193" s="12">
        <v>0</v>
      </c>
      <c r="S193" s="10">
        <v>0</v>
      </c>
      <c r="T193" s="12">
        <v>0</v>
      </c>
      <c r="U193" s="12">
        <v>0</v>
      </c>
      <c r="V193" s="10">
        <v>0</v>
      </c>
      <c r="W193" s="12">
        <v>0</v>
      </c>
      <c r="X193" s="12">
        <v>0</v>
      </c>
      <c r="Y193" s="10">
        <v>0</v>
      </c>
    </row>
    <row r="194" spans="1:25" x14ac:dyDescent="0.3">
      <c r="A194" s="9" t="s">
        <v>131</v>
      </c>
      <c r="B194" s="6">
        <v>2022</v>
      </c>
      <c r="C194" s="10">
        <v>193</v>
      </c>
      <c r="D194" s="6" t="s">
        <v>438</v>
      </c>
      <c r="E194" s="6" t="s">
        <v>64</v>
      </c>
      <c r="F194" s="6" t="s">
        <v>439</v>
      </c>
      <c r="G194" s="11" t="s">
        <v>134</v>
      </c>
      <c r="H194" s="6" t="s">
        <v>135</v>
      </c>
      <c r="I194" s="6" t="s">
        <v>135</v>
      </c>
      <c r="J194" s="6" t="s">
        <v>134</v>
      </c>
      <c r="K194" s="12">
        <v>100</v>
      </c>
      <c r="L194" s="12">
        <v>27</v>
      </c>
      <c r="M194" s="10">
        <v>200</v>
      </c>
      <c r="N194" s="12">
        <v>0</v>
      </c>
      <c r="O194" s="12">
        <v>0</v>
      </c>
      <c r="P194" s="10">
        <v>0</v>
      </c>
      <c r="Q194" s="12">
        <v>0</v>
      </c>
      <c r="R194" s="12">
        <v>0</v>
      </c>
      <c r="S194" s="10">
        <v>0</v>
      </c>
      <c r="T194" s="12">
        <v>0</v>
      </c>
      <c r="U194" s="12">
        <v>0</v>
      </c>
      <c r="V194" s="10">
        <v>0</v>
      </c>
      <c r="W194" s="12">
        <v>0</v>
      </c>
      <c r="X194" s="12">
        <v>0</v>
      </c>
      <c r="Y194" s="10">
        <v>0</v>
      </c>
    </row>
    <row r="195" spans="1:25" x14ac:dyDescent="0.3">
      <c r="A195" s="9" t="s">
        <v>131</v>
      </c>
      <c r="B195" s="6">
        <v>2022</v>
      </c>
      <c r="C195" s="10">
        <v>194</v>
      </c>
      <c r="D195" s="6" t="s">
        <v>440</v>
      </c>
      <c r="E195" s="6" t="s">
        <v>64</v>
      </c>
      <c r="F195" s="6" t="s">
        <v>134</v>
      </c>
      <c r="G195" s="13" t="s">
        <v>441</v>
      </c>
      <c r="H195" s="6" t="s">
        <v>135</v>
      </c>
      <c r="I195" s="6" t="s">
        <v>135</v>
      </c>
      <c r="J195" s="6" t="s">
        <v>134</v>
      </c>
      <c r="K195" s="12">
        <v>0</v>
      </c>
      <c r="L195" s="12">
        <v>0</v>
      </c>
      <c r="M195" s="10">
        <v>0</v>
      </c>
      <c r="N195" s="12">
        <v>0</v>
      </c>
      <c r="O195" s="12">
        <v>0</v>
      </c>
      <c r="P195" s="10">
        <v>0</v>
      </c>
      <c r="Q195" s="12">
        <v>0</v>
      </c>
      <c r="R195" s="12">
        <v>0</v>
      </c>
      <c r="S195" s="10">
        <v>0</v>
      </c>
      <c r="T195" s="12">
        <v>0</v>
      </c>
      <c r="U195" s="12">
        <v>0</v>
      </c>
      <c r="V195" s="10">
        <v>0</v>
      </c>
      <c r="W195" s="12">
        <v>0</v>
      </c>
      <c r="X195" s="12">
        <v>0</v>
      </c>
      <c r="Y195" s="10">
        <v>0</v>
      </c>
    </row>
    <row r="196" spans="1:25" x14ac:dyDescent="0.3">
      <c r="A196" s="9" t="s">
        <v>131</v>
      </c>
      <c r="B196" s="6">
        <v>2022</v>
      </c>
      <c r="C196" s="10">
        <v>195</v>
      </c>
      <c r="D196" s="6" t="s">
        <v>442</v>
      </c>
      <c r="E196" s="6" t="s">
        <v>64</v>
      </c>
      <c r="F196" s="6" t="s">
        <v>443</v>
      </c>
      <c r="G196" s="11" t="s">
        <v>134</v>
      </c>
      <c r="H196" s="6" t="s">
        <v>135</v>
      </c>
      <c r="I196" s="6" t="s">
        <v>135</v>
      </c>
      <c r="J196" s="6" t="s">
        <v>134</v>
      </c>
      <c r="K196" s="12">
        <v>100</v>
      </c>
      <c r="L196" s="12">
        <v>27</v>
      </c>
      <c r="M196" s="10">
        <v>200</v>
      </c>
      <c r="N196" s="12">
        <v>0</v>
      </c>
      <c r="O196" s="12">
        <v>0</v>
      </c>
      <c r="P196" s="10">
        <v>0</v>
      </c>
      <c r="Q196" s="12">
        <v>0</v>
      </c>
      <c r="R196" s="12">
        <v>0</v>
      </c>
      <c r="S196" s="10">
        <v>0</v>
      </c>
      <c r="T196" s="12">
        <v>0</v>
      </c>
      <c r="U196" s="12">
        <v>0</v>
      </c>
      <c r="V196" s="10">
        <v>0</v>
      </c>
      <c r="W196" s="12">
        <v>0</v>
      </c>
      <c r="X196" s="12">
        <v>0</v>
      </c>
      <c r="Y196" s="10">
        <v>0</v>
      </c>
    </row>
    <row r="197" spans="1:25" x14ac:dyDescent="0.3">
      <c r="A197" s="9" t="s">
        <v>131</v>
      </c>
      <c r="B197" s="6">
        <v>2022</v>
      </c>
      <c r="C197" s="10">
        <v>196</v>
      </c>
      <c r="D197" s="6" t="s">
        <v>444</v>
      </c>
      <c r="E197" s="6" t="s">
        <v>64</v>
      </c>
      <c r="F197" s="6" t="s">
        <v>134</v>
      </c>
      <c r="G197" s="13" t="s">
        <v>1990</v>
      </c>
      <c r="H197" s="6" t="s">
        <v>135</v>
      </c>
      <c r="I197" s="6" t="s">
        <v>135</v>
      </c>
      <c r="J197" s="6" t="s">
        <v>134</v>
      </c>
      <c r="K197" s="12">
        <v>0</v>
      </c>
      <c r="L197" s="12">
        <v>0</v>
      </c>
      <c r="M197" s="10">
        <v>0</v>
      </c>
      <c r="N197" s="12">
        <v>0</v>
      </c>
      <c r="O197" s="12">
        <v>0</v>
      </c>
      <c r="P197" s="10">
        <v>0</v>
      </c>
      <c r="Q197" s="12">
        <v>0</v>
      </c>
      <c r="R197" s="12">
        <v>0</v>
      </c>
      <c r="S197" s="10">
        <v>0</v>
      </c>
      <c r="T197" s="12">
        <v>0</v>
      </c>
      <c r="U197" s="12">
        <v>0</v>
      </c>
      <c r="V197" s="10">
        <v>0</v>
      </c>
      <c r="W197" s="12">
        <v>0</v>
      </c>
      <c r="X197" s="12">
        <v>0</v>
      </c>
      <c r="Y197" s="10">
        <v>0</v>
      </c>
    </row>
    <row r="198" spans="1:25" x14ac:dyDescent="0.3">
      <c r="A198" s="9" t="s">
        <v>131</v>
      </c>
      <c r="B198" s="6">
        <v>2022</v>
      </c>
      <c r="C198" s="10">
        <v>197</v>
      </c>
      <c r="D198" s="6" t="s">
        <v>445</v>
      </c>
      <c r="E198" s="6" t="s">
        <v>64</v>
      </c>
      <c r="F198" s="6" t="s">
        <v>446</v>
      </c>
      <c r="G198" s="11" t="s">
        <v>134</v>
      </c>
      <c r="H198" s="6" t="s">
        <v>135</v>
      </c>
      <c r="I198" s="6" t="s">
        <v>135</v>
      </c>
      <c r="J198" s="6" t="s">
        <v>134</v>
      </c>
      <c r="K198" s="12">
        <v>100</v>
      </c>
      <c r="L198" s="12">
        <v>27</v>
      </c>
      <c r="M198" s="10">
        <v>200</v>
      </c>
      <c r="N198" s="12">
        <v>0</v>
      </c>
      <c r="O198" s="12">
        <v>0</v>
      </c>
      <c r="P198" s="10">
        <v>0</v>
      </c>
      <c r="Q198" s="12">
        <v>0</v>
      </c>
      <c r="R198" s="12">
        <v>0</v>
      </c>
      <c r="S198" s="10">
        <v>0</v>
      </c>
      <c r="T198" s="12">
        <v>0</v>
      </c>
      <c r="U198" s="12">
        <v>0</v>
      </c>
      <c r="V198" s="10">
        <v>0</v>
      </c>
      <c r="W198" s="12">
        <v>0</v>
      </c>
      <c r="X198" s="12">
        <v>0</v>
      </c>
      <c r="Y198" s="10">
        <v>0</v>
      </c>
    </row>
    <row r="199" spans="1:25" x14ac:dyDescent="0.3">
      <c r="A199" s="9" t="s">
        <v>131</v>
      </c>
      <c r="B199" s="6">
        <v>2022</v>
      </c>
      <c r="C199" s="10">
        <v>198</v>
      </c>
      <c r="D199" s="6" t="s">
        <v>447</v>
      </c>
      <c r="E199" s="6" t="s">
        <v>64</v>
      </c>
      <c r="F199" s="6" t="s">
        <v>134</v>
      </c>
      <c r="G199" s="13" t="s">
        <v>1998</v>
      </c>
      <c r="H199" s="6" t="s">
        <v>135</v>
      </c>
      <c r="I199" s="6" t="s">
        <v>135</v>
      </c>
      <c r="J199" s="6" t="s">
        <v>134</v>
      </c>
      <c r="K199" s="12">
        <v>0</v>
      </c>
      <c r="L199" s="12">
        <v>0</v>
      </c>
      <c r="M199" s="10">
        <v>0</v>
      </c>
      <c r="N199" s="12">
        <v>0</v>
      </c>
      <c r="O199" s="12">
        <v>0</v>
      </c>
      <c r="P199" s="10">
        <v>0</v>
      </c>
      <c r="Q199" s="12">
        <v>0</v>
      </c>
      <c r="R199" s="12">
        <v>0</v>
      </c>
      <c r="S199" s="10">
        <v>0</v>
      </c>
      <c r="T199" s="12">
        <v>0</v>
      </c>
      <c r="U199" s="12">
        <v>0</v>
      </c>
      <c r="V199" s="10">
        <v>0</v>
      </c>
      <c r="W199" s="12">
        <v>0</v>
      </c>
      <c r="X199" s="12">
        <v>0</v>
      </c>
      <c r="Y199" s="10">
        <v>0</v>
      </c>
    </row>
    <row r="200" spans="1:25" x14ac:dyDescent="0.3">
      <c r="A200" s="9" t="s">
        <v>131</v>
      </c>
      <c r="B200" s="6">
        <v>2022</v>
      </c>
      <c r="C200" s="10">
        <v>199</v>
      </c>
      <c r="D200" s="6" t="s">
        <v>448</v>
      </c>
      <c r="E200" s="6" t="s">
        <v>64</v>
      </c>
      <c r="F200" s="6" t="s">
        <v>449</v>
      </c>
      <c r="G200" s="11" t="s">
        <v>134</v>
      </c>
      <c r="H200" s="6" t="s">
        <v>135</v>
      </c>
      <c r="I200" s="6" t="s">
        <v>135</v>
      </c>
      <c r="J200" s="6" t="s">
        <v>238</v>
      </c>
      <c r="K200" s="12">
        <v>0</v>
      </c>
      <c r="L200" s="12">
        <v>0</v>
      </c>
      <c r="M200" s="10">
        <v>0</v>
      </c>
      <c r="N200" s="12">
        <v>0</v>
      </c>
      <c r="O200" s="12">
        <v>0</v>
      </c>
      <c r="P200" s="10">
        <v>0</v>
      </c>
      <c r="Q200" s="12">
        <v>0</v>
      </c>
      <c r="R200" s="12">
        <v>0</v>
      </c>
      <c r="S200" s="10">
        <v>0</v>
      </c>
      <c r="T200" s="12">
        <v>0</v>
      </c>
      <c r="U200" s="12">
        <v>0</v>
      </c>
      <c r="V200" s="10">
        <v>0</v>
      </c>
      <c r="W200" s="12">
        <v>0</v>
      </c>
      <c r="X200" s="12">
        <v>0</v>
      </c>
      <c r="Y200" s="10">
        <v>0</v>
      </c>
    </row>
    <row r="201" spans="1:25" x14ac:dyDescent="0.3">
      <c r="A201" s="9" t="s">
        <v>131</v>
      </c>
      <c r="B201" s="6">
        <v>2022</v>
      </c>
      <c r="C201" s="10">
        <v>200</v>
      </c>
      <c r="D201" s="6" t="s">
        <v>450</v>
      </c>
      <c r="E201" s="6" t="s">
        <v>64</v>
      </c>
      <c r="F201" s="6" t="s">
        <v>451</v>
      </c>
      <c r="G201" s="11" t="s">
        <v>134</v>
      </c>
      <c r="H201" s="6" t="s">
        <v>135</v>
      </c>
      <c r="I201" s="6" t="s">
        <v>135</v>
      </c>
      <c r="J201" s="6" t="s">
        <v>238</v>
      </c>
      <c r="K201" s="12">
        <v>0</v>
      </c>
      <c r="L201" s="12">
        <v>0</v>
      </c>
      <c r="M201" s="10">
        <v>0</v>
      </c>
      <c r="N201" s="12">
        <v>0</v>
      </c>
      <c r="O201" s="12">
        <v>0</v>
      </c>
      <c r="P201" s="10">
        <v>0</v>
      </c>
      <c r="Q201" s="12">
        <v>0</v>
      </c>
      <c r="R201" s="12">
        <v>0</v>
      </c>
      <c r="S201" s="10">
        <v>0</v>
      </c>
      <c r="T201" s="12">
        <v>0</v>
      </c>
      <c r="U201" s="12">
        <v>0</v>
      </c>
      <c r="V201" s="10">
        <v>0</v>
      </c>
      <c r="W201" s="12">
        <v>0</v>
      </c>
      <c r="X201" s="12">
        <v>0</v>
      </c>
      <c r="Y201" s="10">
        <v>0</v>
      </c>
    </row>
    <row r="202" spans="1:25" x14ac:dyDescent="0.3">
      <c r="A202" s="9" t="s">
        <v>131</v>
      </c>
      <c r="B202" s="6">
        <v>2022</v>
      </c>
      <c r="C202" s="10">
        <v>201</v>
      </c>
      <c r="D202" s="6" t="s">
        <v>452</v>
      </c>
      <c r="E202" s="6" t="s">
        <v>64</v>
      </c>
      <c r="F202" s="6" t="s">
        <v>134</v>
      </c>
      <c r="G202" s="13" t="s">
        <v>453</v>
      </c>
      <c r="H202" s="6" t="s">
        <v>135</v>
      </c>
      <c r="I202" s="6" t="s">
        <v>135</v>
      </c>
      <c r="J202" s="6" t="s">
        <v>134</v>
      </c>
      <c r="K202" s="12">
        <v>0</v>
      </c>
      <c r="L202" s="12">
        <v>0</v>
      </c>
      <c r="M202" s="10">
        <v>0</v>
      </c>
      <c r="N202" s="12">
        <v>0</v>
      </c>
      <c r="O202" s="12">
        <v>0</v>
      </c>
      <c r="P202" s="10">
        <v>0</v>
      </c>
      <c r="Q202" s="12">
        <v>0</v>
      </c>
      <c r="R202" s="12">
        <v>0</v>
      </c>
      <c r="S202" s="10">
        <v>0</v>
      </c>
      <c r="T202" s="12">
        <v>0</v>
      </c>
      <c r="U202" s="12">
        <v>0</v>
      </c>
      <c r="V202" s="10">
        <v>0</v>
      </c>
      <c r="W202" s="12">
        <v>0</v>
      </c>
      <c r="X202" s="12">
        <v>0</v>
      </c>
      <c r="Y202" s="10">
        <v>0</v>
      </c>
    </row>
    <row r="203" spans="1:25" x14ac:dyDescent="0.3">
      <c r="A203" s="9" t="s">
        <v>131</v>
      </c>
      <c r="B203" s="6">
        <v>2022</v>
      </c>
      <c r="C203" s="10">
        <v>202</v>
      </c>
      <c r="D203" s="6" t="s">
        <v>454</v>
      </c>
      <c r="E203" s="6" t="s">
        <v>64</v>
      </c>
      <c r="F203" s="6" t="s">
        <v>134</v>
      </c>
      <c r="G203" s="13" t="s">
        <v>455</v>
      </c>
      <c r="H203" s="6" t="s">
        <v>135</v>
      </c>
      <c r="I203" s="6" t="s">
        <v>135</v>
      </c>
      <c r="J203" s="6" t="s">
        <v>134</v>
      </c>
      <c r="K203" s="12">
        <v>0</v>
      </c>
      <c r="L203" s="12">
        <v>0</v>
      </c>
      <c r="M203" s="10">
        <v>0</v>
      </c>
      <c r="N203" s="12">
        <v>0</v>
      </c>
      <c r="O203" s="12">
        <v>0</v>
      </c>
      <c r="P203" s="10">
        <v>0</v>
      </c>
      <c r="Q203" s="12">
        <v>0</v>
      </c>
      <c r="R203" s="12">
        <v>0</v>
      </c>
      <c r="S203" s="10">
        <v>0</v>
      </c>
      <c r="T203" s="12">
        <v>0</v>
      </c>
      <c r="U203" s="12">
        <v>0</v>
      </c>
      <c r="V203" s="10">
        <v>0</v>
      </c>
      <c r="W203" s="12">
        <v>0</v>
      </c>
      <c r="X203" s="12">
        <v>0</v>
      </c>
      <c r="Y203" s="10">
        <v>0</v>
      </c>
    </row>
    <row r="204" spans="1:25" x14ac:dyDescent="0.3">
      <c r="A204" s="9" t="s">
        <v>131</v>
      </c>
      <c r="B204" s="6">
        <v>2022</v>
      </c>
      <c r="C204" s="10">
        <v>203</v>
      </c>
      <c r="D204" s="6" t="s">
        <v>456</v>
      </c>
      <c r="E204" s="6" t="s">
        <v>64</v>
      </c>
      <c r="F204" s="6" t="s">
        <v>457</v>
      </c>
      <c r="G204" s="11" t="s">
        <v>134</v>
      </c>
      <c r="H204" s="6" t="s">
        <v>135</v>
      </c>
      <c r="I204" s="6" t="s">
        <v>135</v>
      </c>
      <c r="J204" s="6" t="s">
        <v>134</v>
      </c>
      <c r="K204" s="12">
        <v>100</v>
      </c>
      <c r="L204" s="12">
        <v>27</v>
      </c>
      <c r="M204" s="10">
        <v>210</v>
      </c>
      <c r="N204" s="12">
        <v>0</v>
      </c>
      <c r="O204" s="12">
        <v>0</v>
      </c>
      <c r="P204" s="10">
        <v>0</v>
      </c>
      <c r="Q204" s="12">
        <v>0</v>
      </c>
      <c r="R204" s="12">
        <v>0</v>
      </c>
      <c r="S204" s="10">
        <v>0</v>
      </c>
      <c r="T204" s="12">
        <v>0</v>
      </c>
      <c r="U204" s="12">
        <v>0</v>
      </c>
      <c r="V204" s="10">
        <v>0</v>
      </c>
      <c r="W204" s="12">
        <v>0</v>
      </c>
      <c r="X204" s="12">
        <v>0</v>
      </c>
      <c r="Y204" s="10">
        <v>0</v>
      </c>
    </row>
    <row r="205" spans="1:25" x14ac:dyDescent="0.3">
      <c r="A205" s="9" t="s">
        <v>131</v>
      </c>
      <c r="B205" s="6">
        <v>2022</v>
      </c>
      <c r="C205" s="10">
        <v>204</v>
      </c>
      <c r="D205" s="6" t="s">
        <v>458</v>
      </c>
      <c r="E205" s="6" t="s">
        <v>64</v>
      </c>
      <c r="F205" s="6" t="s">
        <v>459</v>
      </c>
      <c r="G205" s="11" t="s">
        <v>134</v>
      </c>
      <c r="H205" s="6" t="s">
        <v>135</v>
      </c>
      <c r="I205" s="6" t="s">
        <v>135</v>
      </c>
      <c r="J205" s="6" t="s">
        <v>134</v>
      </c>
      <c r="K205" s="12">
        <v>100</v>
      </c>
      <c r="L205" s="12">
        <v>27</v>
      </c>
      <c r="M205" s="10">
        <v>210</v>
      </c>
      <c r="N205" s="12">
        <v>0</v>
      </c>
      <c r="O205" s="12">
        <v>0</v>
      </c>
      <c r="P205" s="10">
        <v>0</v>
      </c>
      <c r="Q205" s="12">
        <v>0</v>
      </c>
      <c r="R205" s="12">
        <v>0</v>
      </c>
      <c r="S205" s="10">
        <v>0</v>
      </c>
      <c r="T205" s="12">
        <v>0</v>
      </c>
      <c r="U205" s="12">
        <v>0</v>
      </c>
      <c r="V205" s="10">
        <v>0</v>
      </c>
      <c r="W205" s="12">
        <v>0</v>
      </c>
      <c r="X205" s="12">
        <v>0</v>
      </c>
      <c r="Y205" s="10">
        <v>0</v>
      </c>
    </row>
    <row r="206" spans="1:25" x14ac:dyDescent="0.3">
      <c r="A206" s="9" t="s">
        <v>131</v>
      </c>
      <c r="B206" s="6">
        <v>2022</v>
      </c>
      <c r="C206" s="10">
        <v>205</v>
      </c>
      <c r="D206" s="6" t="s">
        <v>460</v>
      </c>
      <c r="E206" s="6" t="s">
        <v>64</v>
      </c>
      <c r="F206" s="6" t="s">
        <v>134</v>
      </c>
      <c r="G206" s="13" t="s">
        <v>461</v>
      </c>
      <c r="H206" s="6" t="s">
        <v>135</v>
      </c>
      <c r="I206" s="6" t="s">
        <v>135</v>
      </c>
      <c r="J206" s="6" t="s">
        <v>134</v>
      </c>
      <c r="K206" s="12">
        <v>0</v>
      </c>
      <c r="L206" s="12">
        <v>0</v>
      </c>
      <c r="M206" s="10">
        <v>0</v>
      </c>
      <c r="N206" s="12">
        <v>0</v>
      </c>
      <c r="O206" s="12">
        <v>0</v>
      </c>
      <c r="P206" s="10">
        <v>0</v>
      </c>
      <c r="Q206" s="12">
        <v>0</v>
      </c>
      <c r="R206" s="12">
        <v>0</v>
      </c>
      <c r="S206" s="10">
        <v>0</v>
      </c>
      <c r="T206" s="12">
        <v>0</v>
      </c>
      <c r="U206" s="12">
        <v>0</v>
      </c>
      <c r="V206" s="10">
        <v>0</v>
      </c>
      <c r="W206" s="12">
        <v>0</v>
      </c>
      <c r="X206" s="12">
        <v>0</v>
      </c>
      <c r="Y206" s="10">
        <v>0</v>
      </c>
    </row>
    <row r="207" spans="1:25" x14ac:dyDescent="0.3">
      <c r="A207" s="9" t="s">
        <v>131</v>
      </c>
      <c r="B207" s="6">
        <v>2022</v>
      </c>
      <c r="C207" s="10">
        <v>206</v>
      </c>
      <c r="D207" s="6" t="s">
        <v>462</v>
      </c>
      <c r="E207" s="6" t="s">
        <v>64</v>
      </c>
      <c r="F207" s="6" t="s">
        <v>463</v>
      </c>
      <c r="G207" s="11" t="s">
        <v>134</v>
      </c>
      <c r="H207" s="6" t="s">
        <v>135</v>
      </c>
      <c r="I207" s="6" t="s">
        <v>135</v>
      </c>
      <c r="J207" s="6" t="s">
        <v>134</v>
      </c>
      <c r="K207" s="12">
        <v>100</v>
      </c>
      <c r="L207" s="12">
        <v>27</v>
      </c>
      <c r="M207" s="10">
        <v>210</v>
      </c>
      <c r="N207" s="12">
        <v>0</v>
      </c>
      <c r="O207" s="12">
        <v>0</v>
      </c>
      <c r="P207" s="10">
        <v>0</v>
      </c>
      <c r="Q207" s="12">
        <v>0</v>
      </c>
      <c r="R207" s="12">
        <v>0</v>
      </c>
      <c r="S207" s="10">
        <v>0</v>
      </c>
      <c r="T207" s="12">
        <v>0</v>
      </c>
      <c r="U207" s="12">
        <v>0</v>
      </c>
      <c r="V207" s="10">
        <v>0</v>
      </c>
      <c r="W207" s="12">
        <v>0</v>
      </c>
      <c r="X207" s="12">
        <v>0</v>
      </c>
      <c r="Y207" s="10">
        <v>0</v>
      </c>
    </row>
    <row r="208" spans="1:25" x14ac:dyDescent="0.3">
      <c r="A208" s="9" t="s">
        <v>131</v>
      </c>
      <c r="B208" s="6">
        <v>2022</v>
      </c>
      <c r="C208" s="10">
        <v>207</v>
      </c>
      <c r="D208" s="6" t="s">
        <v>464</v>
      </c>
      <c r="E208" s="6" t="s">
        <v>64</v>
      </c>
      <c r="F208" s="6" t="s">
        <v>134</v>
      </c>
      <c r="G208" s="13" t="s">
        <v>2029</v>
      </c>
      <c r="H208" s="6" t="s">
        <v>135</v>
      </c>
      <c r="I208" s="6" t="s">
        <v>135</v>
      </c>
      <c r="J208" s="6" t="s">
        <v>134</v>
      </c>
      <c r="K208" s="12">
        <v>0</v>
      </c>
      <c r="L208" s="12">
        <v>0</v>
      </c>
      <c r="M208" s="10">
        <v>0</v>
      </c>
      <c r="N208" s="12">
        <v>0</v>
      </c>
      <c r="O208" s="12">
        <v>0</v>
      </c>
      <c r="P208" s="10">
        <v>0</v>
      </c>
      <c r="Q208" s="12">
        <v>0</v>
      </c>
      <c r="R208" s="12">
        <v>0</v>
      </c>
      <c r="S208" s="10">
        <v>0</v>
      </c>
      <c r="T208" s="12">
        <v>0</v>
      </c>
      <c r="U208" s="12">
        <v>0</v>
      </c>
      <c r="V208" s="10">
        <v>0</v>
      </c>
      <c r="W208" s="12">
        <v>0</v>
      </c>
      <c r="X208" s="12">
        <v>0</v>
      </c>
      <c r="Y208" s="10">
        <v>0</v>
      </c>
    </row>
    <row r="209" spans="1:25" x14ac:dyDescent="0.3">
      <c r="A209" s="9" t="s">
        <v>131</v>
      </c>
      <c r="B209" s="6">
        <v>2022</v>
      </c>
      <c r="C209" s="10">
        <v>208</v>
      </c>
      <c r="D209" s="6" t="s">
        <v>465</v>
      </c>
      <c r="E209" s="6" t="s">
        <v>64</v>
      </c>
      <c r="F209" s="6" t="s">
        <v>466</v>
      </c>
      <c r="G209" s="11" t="s">
        <v>134</v>
      </c>
      <c r="H209" s="6" t="s">
        <v>135</v>
      </c>
      <c r="I209" s="6" t="s">
        <v>135</v>
      </c>
      <c r="J209" s="6" t="s">
        <v>134</v>
      </c>
      <c r="K209" s="12">
        <v>100</v>
      </c>
      <c r="L209" s="12">
        <v>27</v>
      </c>
      <c r="M209" s="10">
        <v>210</v>
      </c>
      <c r="N209" s="12">
        <v>0</v>
      </c>
      <c r="O209" s="12">
        <v>0</v>
      </c>
      <c r="P209" s="10">
        <v>0</v>
      </c>
      <c r="Q209" s="12">
        <v>0</v>
      </c>
      <c r="R209" s="12">
        <v>0</v>
      </c>
      <c r="S209" s="10">
        <v>0</v>
      </c>
      <c r="T209" s="12">
        <v>0</v>
      </c>
      <c r="U209" s="12">
        <v>0</v>
      </c>
      <c r="V209" s="10">
        <v>0</v>
      </c>
      <c r="W209" s="12">
        <v>0</v>
      </c>
      <c r="X209" s="12">
        <v>0</v>
      </c>
      <c r="Y209" s="10">
        <v>0</v>
      </c>
    </row>
    <row r="210" spans="1:25" x14ac:dyDescent="0.3">
      <c r="A210" s="9" t="s">
        <v>131</v>
      </c>
      <c r="B210" s="6">
        <v>2022</v>
      </c>
      <c r="C210" s="10">
        <v>209</v>
      </c>
      <c r="D210" s="6" t="s">
        <v>467</v>
      </c>
      <c r="E210" s="6" t="s">
        <v>64</v>
      </c>
      <c r="F210" s="6" t="s">
        <v>134</v>
      </c>
      <c r="G210" s="13" t="s">
        <v>2037</v>
      </c>
      <c r="H210" s="6" t="s">
        <v>135</v>
      </c>
      <c r="I210" s="6" t="s">
        <v>135</v>
      </c>
      <c r="J210" s="6" t="s">
        <v>134</v>
      </c>
      <c r="K210" s="12">
        <v>0</v>
      </c>
      <c r="L210" s="12">
        <v>0</v>
      </c>
      <c r="M210" s="10">
        <v>0</v>
      </c>
      <c r="N210" s="12">
        <v>0</v>
      </c>
      <c r="O210" s="12">
        <v>0</v>
      </c>
      <c r="P210" s="10">
        <v>0</v>
      </c>
      <c r="Q210" s="12">
        <v>0</v>
      </c>
      <c r="R210" s="12">
        <v>0</v>
      </c>
      <c r="S210" s="10">
        <v>0</v>
      </c>
      <c r="T210" s="12">
        <v>0</v>
      </c>
      <c r="U210" s="12">
        <v>0</v>
      </c>
      <c r="V210" s="10">
        <v>0</v>
      </c>
      <c r="W210" s="12">
        <v>0</v>
      </c>
      <c r="X210" s="12">
        <v>0</v>
      </c>
      <c r="Y210" s="10">
        <v>0</v>
      </c>
    </row>
    <row r="211" spans="1:25" x14ac:dyDescent="0.3">
      <c r="A211" s="9" t="s">
        <v>131</v>
      </c>
      <c r="B211" s="6">
        <v>2022</v>
      </c>
      <c r="C211" s="10">
        <v>210</v>
      </c>
      <c r="D211" s="6" t="s">
        <v>468</v>
      </c>
      <c r="E211" s="6" t="s">
        <v>64</v>
      </c>
      <c r="F211" s="6" t="s">
        <v>469</v>
      </c>
      <c r="G211" s="11" t="s">
        <v>134</v>
      </c>
      <c r="H211" s="6" t="s">
        <v>135</v>
      </c>
      <c r="I211" s="6" t="s">
        <v>135</v>
      </c>
      <c r="J211" s="6" t="s">
        <v>238</v>
      </c>
      <c r="K211" s="12">
        <v>0</v>
      </c>
      <c r="L211" s="12">
        <v>0</v>
      </c>
      <c r="M211" s="10">
        <v>0</v>
      </c>
      <c r="N211" s="12">
        <v>0</v>
      </c>
      <c r="O211" s="12">
        <v>0</v>
      </c>
      <c r="P211" s="10">
        <v>0</v>
      </c>
      <c r="Q211" s="12">
        <v>0</v>
      </c>
      <c r="R211" s="12">
        <v>0</v>
      </c>
      <c r="S211" s="10">
        <v>0</v>
      </c>
      <c r="T211" s="12">
        <v>0</v>
      </c>
      <c r="U211" s="12">
        <v>0</v>
      </c>
      <c r="V211" s="10">
        <v>0</v>
      </c>
      <c r="W211" s="12">
        <v>0</v>
      </c>
      <c r="X211" s="12">
        <v>0</v>
      </c>
      <c r="Y211" s="10">
        <v>0</v>
      </c>
    </row>
    <row r="212" spans="1:25" x14ac:dyDescent="0.3">
      <c r="A212" s="9" t="s">
        <v>131</v>
      </c>
      <c r="B212" s="6">
        <v>2022</v>
      </c>
      <c r="C212" s="10">
        <v>211</v>
      </c>
      <c r="D212" s="6" t="s">
        <v>470</v>
      </c>
      <c r="E212" s="6" t="s">
        <v>64</v>
      </c>
      <c r="F212" s="6" t="s">
        <v>134</v>
      </c>
      <c r="G212" s="13" t="s">
        <v>2044</v>
      </c>
      <c r="H212" s="6" t="s">
        <v>135</v>
      </c>
      <c r="I212" s="6" t="s">
        <v>135</v>
      </c>
      <c r="J212" s="6" t="s">
        <v>238</v>
      </c>
      <c r="K212" s="12">
        <v>0</v>
      </c>
      <c r="L212" s="12">
        <v>0</v>
      </c>
      <c r="M212" s="10">
        <v>0</v>
      </c>
      <c r="N212" s="12">
        <v>0</v>
      </c>
      <c r="O212" s="12">
        <v>0</v>
      </c>
      <c r="P212" s="10">
        <v>0</v>
      </c>
      <c r="Q212" s="12">
        <v>0</v>
      </c>
      <c r="R212" s="12">
        <v>0</v>
      </c>
      <c r="S212" s="10">
        <v>0</v>
      </c>
      <c r="T212" s="12">
        <v>0</v>
      </c>
      <c r="U212" s="12">
        <v>0</v>
      </c>
      <c r="V212" s="10">
        <v>0</v>
      </c>
      <c r="W212" s="12">
        <v>0</v>
      </c>
      <c r="X212" s="12">
        <v>0</v>
      </c>
      <c r="Y212" s="10">
        <v>0</v>
      </c>
    </row>
    <row r="213" spans="1:25" x14ac:dyDescent="0.3">
      <c r="A213" s="9" t="s">
        <v>131</v>
      </c>
      <c r="B213" s="6">
        <v>2022</v>
      </c>
      <c r="C213" s="10">
        <v>212</v>
      </c>
      <c r="D213" s="6" t="s">
        <v>471</v>
      </c>
      <c r="E213" s="6" t="s">
        <v>64</v>
      </c>
      <c r="F213" s="6" t="s">
        <v>134</v>
      </c>
      <c r="G213" s="13" t="s">
        <v>472</v>
      </c>
      <c r="H213" s="6" t="s">
        <v>135</v>
      </c>
      <c r="I213" s="6" t="s">
        <v>135</v>
      </c>
      <c r="J213" s="6" t="s">
        <v>134</v>
      </c>
      <c r="K213" s="12">
        <v>0</v>
      </c>
      <c r="L213" s="12">
        <v>0</v>
      </c>
      <c r="M213" s="10">
        <v>0</v>
      </c>
      <c r="N213" s="12">
        <v>0</v>
      </c>
      <c r="O213" s="12">
        <v>0</v>
      </c>
      <c r="P213" s="10">
        <v>0</v>
      </c>
      <c r="Q213" s="12">
        <v>0</v>
      </c>
      <c r="R213" s="12">
        <v>0</v>
      </c>
      <c r="S213" s="10">
        <v>0</v>
      </c>
      <c r="T213" s="12">
        <v>0</v>
      </c>
      <c r="U213" s="12">
        <v>0</v>
      </c>
      <c r="V213" s="10">
        <v>0</v>
      </c>
      <c r="W213" s="12">
        <v>0</v>
      </c>
      <c r="X213" s="12">
        <v>0</v>
      </c>
      <c r="Y213" s="10">
        <v>0</v>
      </c>
    </row>
    <row r="214" spans="1:25" x14ac:dyDescent="0.3">
      <c r="A214" s="9" t="s">
        <v>131</v>
      </c>
      <c r="B214" s="6">
        <v>2022</v>
      </c>
      <c r="C214" s="10">
        <v>213</v>
      </c>
      <c r="D214" s="6" t="s">
        <v>473</v>
      </c>
      <c r="E214" s="6" t="s">
        <v>64</v>
      </c>
      <c r="F214" s="6" t="s">
        <v>474</v>
      </c>
      <c r="G214" s="11" t="s">
        <v>134</v>
      </c>
      <c r="H214" s="6" t="s">
        <v>135</v>
      </c>
      <c r="I214" s="6" t="s">
        <v>135</v>
      </c>
      <c r="J214" s="6" t="s">
        <v>134</v>
      </c>
      <c r="K214" s="12">
        <v>0</v>
      </c>
      <c r="L214" s="12">
        <v>0</v>
      </c>
      <c r="M214" s="10">
        <v>0</v>
      </c>
      <c r="N214" s="12">
        <v>0</v>
      </c>
      <c r="O214" s="12">
        <v>0</v>
      </c>
      <c r="P214" s="10">
        <v>0</v>
      </c>
      <c r="Q214" s="12">
        <v>0</v>
      </c>
      <c r="R214" s="12">
        <v>0</v>
      </c>
      <c r="S214" s="10">
        <v>0</v>
      </c>
      <c r="T214" s="12">
        <v>0</v>
      </c>
      <c r="U214" s="12">
        <v>0</v>
      </c>
      <c r="V214" s="10">
        <v>0</v>
      </c>
      <c r="W214" s="12">
        <v>0</v>
      </c>
      <c r="X214" s="12">
        <v>0</v>
      </c>
      <c r="Y214" s="10">
        <v>0</v>
      </c>
    </row>
    <row r="215" spans="1:25" x14ac:dyDescent="0.3">
      <c r="A215" s="9" t="s">
        <v>131</v>
      </c>
      <c r="B215" s="6">
        <v>2022</v>
      </c>
      <c r="C215" s="10">
        <v>214</v>
      </c>
      <c r="D215" s="6" t="s">
        <v>475</v>
      </c>
      <c r="E215" s="6" t="s">
        <v>64</v>
      </c>
      <c r="F215" s="6" t="s">
        <v>476</v>
      </c>
      <c r="G215" s="11" t="s">
        <v>134</v>
      </c>
      <c r="H215" s="6" t="s">
        <v>135</v>
      </c>
      <c r="I215" s="6" t="s">
        <v>135</v>
      </c>
      <c r="J215" s="6" t="s">
        <v>134</v>
      </c>
      <c r="K215" s="12">
        <v>0</v>
      </c>
      <c r="L215" s="12">
        <v>0</v>
      </c>
      <c r="M215" s="10">
        <v>0</v>
      </c>
      <c r="N215" s="12">
        <v>0</v>
      </c>
      <c r="O215" s="12">
        <v>0</v>
      </c>
      <c r="P215" s="10">
        <v>0</v>
      </c>
      <c r="Q215" s="12">
        <v>0</v>
      </c>
      <c r="R215" s="12">
        <v>0</v>
      </c>
      <c r="S215" s="10">
        <v>0</v>
      </c>
      <c r="T215" s="12">
        <v>0</v>
      </c>
      <c r="U215" s="12">
        <v>0</v>
      </c>
      <c r="V215" s="10">
        <v>0</v>
      </c>
      <c r="W215" s="12">
        <v>0</v>
      </c>
      <c r="X215" s="12">
        <v>0</v>
      </c>
      <c r="Y215" s="10">
        <v>0</v>
      </c>
    </row>
    <row r="216" spans="1:25" x14ac:dyDescent="0.3">
      <c r="A216" s="9" t="s">
        <v>131</v>
      </c>
      <c r="B216" s="6">
        <v>2022</v>
      </c>
      <c r="C216" s="10">
        <v>215</v>
      </c>
      <c r="D216" s="6" t="s">
        <v>477</v>
      </c>
      <c r="E216" s="6" t="s">
        <v>64</v>
      </c>
      <c r="F216" s="6" t="s">
        <v>478</v>
      </c>
      <c r="G216" s="11" t="s">
        <v>134</v>
      </c>
      <c r="H216" s="6" t="s">
        <v>135</v>
      </c>
      <c r="I216" s="6" t="s">
        <v>135</v>
      </c>
      <c r="J216" s="6" t="s">
        <v>134</v>
      </c>
      <c r="K216" s="12">
        <v>0</v>
      </c>
      <c r="L216" s="12">
        <v>0</v>
      </c>
      <c r="M216" s="10">
        <v>0</v>
      </c>
      <c r="N216" s="12">
        <v>0</v>
      </c>
      <c r="O216" s="12">
        <v>0</v>
      </c>
      <c r="P216" s="10">
        <v>0</v>
      </c>
      <c r="Q216" s="12">
        <v>0</v>
      </c>
      <c r="R216" s="12">
        <v>0</v>
      </c>
      <c r="S216" s="10">
        <v>0</v>
      </c>
      <c r="T216" s="12">
        <v>0</v>
      </c>
      <c r="U216" s="12">
        <v>0</v>
      </c>
      <c r="V216" s="10">
        <v>0</v>
      </c>
      <c r="W216" s="12">
        <v>0</v>
      </c>
      <c r="X216" s="12">
        <v>0</v>
      </c>
      <c r="Y216" s="10">
        <v>0</v>
      </c>
    </row>
    <row r="217" spans="1:25" x14ac:dyDescent="0.3">
      <c r="A217" s="9" t="s">
        <v>131</v>
      </c>
      <c r="B217" s="6">
        <v>2022</v>
      </c>
      <c r="C217" s="10">
        <v>216</v>
      </c>
      <c r="D217" s="6" t="s">
        <v>479</v>
      </c>
      <c r="E217" s="6" t="s">
        <v>64</v>
      </c>
      <c r="F217" s="6" t="s">
        <v>480</v>
      </c>
      <c r="G217" s="11" t="s">
        <v>134</v>
      </c>
      <c r="H217" s="6" t="s">
        <v>135</v>
      </c>
      <c r="I217" s="6" t="s">
        <v>135</v>
      </c>
      <c r="J217" s="6" t="s">
        <v>134</v>
      </c>
      <c r="K217" s="12">
        <v>0</v>
      </c>
      <c r="L217" s="12">
        <v>0</v>
      </c>
      <c r="M217" s="10">
        <v>0</v>
      </c>
      <c r="N217" s="12">
        <v>0</v>
      </c>
      <c r="O217" s="12">
        <v>0</v>
      </c>
      <c r="P217" s="10">
        <v>0</v>
      </c>
      <c r="Q217" s="12">
        <v>0</v>
      </c>
      <c r="R217" s="12">
        <v>0</v>
      </c>
      <c r="S217" s="10">
        <v>0</v>
      </c>
      <c r="T217" s="12">
        <v>0</v>
      </c>
      <c r="U217" s="12">
        <v>0</v>
      </c>
      <c r="V217" s="10">
        <v>0</v>
      </c>
      <c r="W217" s="12">
        <v>0</v>
      </c>
      <c r="X217" s="12">
        <v>0</v>
      </c>
      <c r="Y217" s="10">
        <v>0</v>
      </c>
    </row>
    <row r="218" spans="1:25" x14ac:dyDescent="0.3">
      <c r="A218" s="9" t="s">
        <v>131</v>
      </c>
      <c r="B218" s="6">
        <v>2022</v>
      </c>
      <c r="C218" s="10">
        <v>217</v>
      </c>
      <c r="D218" s="6" t="s">
        <v>481</v>
      </c>
      <c r="E218" s="6" t="s">
        <v>64</v>
      </c>
      <c r="F218" s="6" t="s">
        <v>134</v>
      </c>
      <c r="G218" s="13" t="s">
        <v>482</v>
      </c>
      <c r="H218" s="6" t="s">
        <v>135</v>
      </c>
      <c r="I218" s="6" t="s">
        <v>135</v>
      </c>
      <c r="J218" s="6" t="s">
        <v>134</v>
      </c>
      <c r="K218" s="12">
        <v>0</v>
      </c>
      <c r="L218" s="12">
        <v>0</v>
      </c>
      <c r="M218" s="10">
        <v>0</v>
      </c>
      <c r="N218" s="12">
        <v>0</v>
      </c>
      <c r="O218" s="12">
        <v>0</v>
      </c>
      <c r="P218" s="10">
        <v>0</v>
      </c>
      <c r="Q218" s="12">
        <v>0</v>
      </c>
      <c r="R218" s="12">
        <v>0</v>
      </c>
      <c r="S218" s="10">
        <v>0</v>
      </c>
      <c r="T218" s="12">
        <v>0</v>
      </c>
      <c r="U218" s="12">
        <v>0</v>
      </c>
      <c r="V218" s="10">
        <v>0</v>
      </c>
      <c r="W218" s="12">
        <v>0</v>
      </c>
      <c r="X218" s="12">
        <v>0</v>
      </c>
      <c r="Y218" s="10">
        <v>0</v>
      </c>
    </row>
    <row r="219" spans="1:25" x14ac:dyDescent="0.3">
      <c r="A219" s="9" t="s">
        <v>131</v>
      </c>
      <c r="B219" s="6">
        <v>2022</v>
      </c>
      <c r="C219" s="10">
        <v>218</v>
      </c>
      <c r="D219" s="6" t="s">
        <v>483</v>
      </c>
      <c r="E219" s="6" t="s">
        <v>64</v>
      </c>
      <c r="F219" s="6" t="s">
        <v>134</v>
      </c>
      <c r="G219" s="13" t="s">
        <v>484</v>
      </c>
      <c r="H219" s="6" t="s">
        <v>135</v>
      </c>
      <c r="I219" s="6" t="s">
        <v>135</v>
      </c>
      <c r="J219" s="6" t="s">
        <v>134</v>
      </c>
      <c r="K219" s="12">
        <v>0</v>
      </c>
      <c r="L219" s="12">
        <v>0</v>
      </c>
      <c r="M219" s="10">
        <v>0</v>
      </c>
      <c r="N219" s="12">
        <v>0</v>
      </c>
      <c r="O219" s="12">
        <v>0</v>
      </c>
      <c r="P219" s="10">
        <v>0</v>
      </c>
      <c r="Q219" s="12">
        <v>0</v>
      </c>
      <c r="R219" s="12">
        <v>0</v>
      </c>
      <c r="S219" s="10">
        <v>0</v>
      </c>
      <c r="T219" s="12">
        <v>0</v>
      </c>
      <c r="U219" s="12">
        <v>0</v>
      </c>
      <c r="V219" s="10">
        <v>0</v>
      </c>
      <c r="W219" s="12">
        <v>0</v>
      </c>
      <c r="X219" s="12">
        <v>0</v>
      </c>
      <c r="Y219" s="10">
        <v>0</v>
      </c>
    </row>
    <row r="220" spans="1:25" x14ac:dyDescent="0.3">
      <c r="A220" s="9" t="s">
        <v>131</v>
      </c>
      <c r="B220" s="6">
        <v>2022</v>
      </c>
      <c r="C220" s="10">
        <v>219</v>
      </c>
      <c r="D220" s="6" t="s">
        <v>485</v>
      </c>
      <c r="E220" s="6" t="s">
        <v>64</v>
      </c>
      <c r="F220" s="6" t="s">
        <v>134</v>
      </c>
      <c r="G220" s="13" t="s">
        <v>486</v>
      </c>
      <c r="H220" s="6" t="s">
        <v>135</v>
      </c>
      <c r="I220" s="6" t="s">
        <v>135</v>
      </c>
      <c r="J220" s="6" t="s">
        <v>134</v>
      </c>
      <c r="K220" s="12">
        <v>0</v>
      </c>
      <c r="L220" s="12">
        <v>0</v>
      </c>
      <c r="M220" s="10">
        <v>0</v>
      </c>
      <c r="N220" s="12">
        <v>0</v>
      </c>
      <c r="O220" s="12">
        <v>0</v>
      </c>
      <c r="P220" s="10">
        <v>0</v>
      </c>
      <c r="Q220" s="12">
        <v>0</v>
      </c>
      <c r="R220" s="12">
        <v>0</v>
      </c>
      <c r="S220" s="10">
        <v>0</v>
      </c>
      <c r="T220" s="12">
        <v>0</v>
      </c>
      <c r="U220" s="12">
        <v>0</v>
      </c>
      <c r="V220" s="10">
        <v>0</v>
      </c>
      <c r="W220" s="12">
        <v>0</v>
      </c>
      <c r="X220" s="12">
        <v>0</v>
      </c>
      <c r="Y220" s="10">
        <v>0</v>
      </c>
    </row>
    <row r="221" spans="1:25" x14ac:dyDescent="0.3">
      <c r="A221" s="9" t="s">
        <v>131</v>
      </c>
      <c r="B221" s="6">
        <v>2022</v>
      </c>
      <c r="C221" s="10">
        <v>220</v>
      </c>
      <c r="D221" s="6" t="s">
        <v>487</v>
      </c>
      <c r="E221" s="6" t="s">
        <v>63</v>
      </c>
      <c r="F221" s="6" t="s">
        <v>488</v>
      </c>
      <c r="G221" s="11" t="s">
        <v>134</v>
      </c>
      <c r="H221" s="6" t="s">
        <v>135</v>
      </c>
      <c r="I221" s="6" t="s">
        <v>135</v>
      </c>
      <c r="J221" s="6" t="s">
        <v>134</v>
      </c>
      <c r="K221" s="12">
        <v>0</v>
      </c>
      <c r="L221" s="12">
        <v>0</v>
      </c>
      <c r="M221" s="10">
        <v>0</v>
      </c>
      <c r="N221" s="12">
        <v>0</v>
      </c>
      <c r="O221" s="12">
        <v>0</v>
      </c>
      <c r="P221" s="10">
        <v>0</v>
      </c>
      <c r="Q221" s="12">
        <v>0</v>
      </c>
      <c r="R221" s="12">
        <v>0</v>
      </c>
      <c r="S221" s="10">
        <v>0</v>
      </c>
      <c r="T221" s="12">
        <v>0</v>
      </c>
      <c r="U221" s="12">
        <v>0</v>
      </c>
      <c r="V221" s="10">
        <v>0</v>
      </c>
      <c r="W221" s="12">
        <v>0</v>
      </c>
      <c r="X221" s="12">
        <v>0</v>
      </c>
      <c r="Y221" s="10">
        <v>0</v>
      </c>
    </row>
    <row r="222" spans="1:25" ht="15.6" x14ac:dyDescent="0.3">
      <c r="A222" s="9" t="s">
        <v>131</v>
      </c>
      <c r="B222" s="6">
        <v>2022</v>
      </c>
      <c r="C222" s="326">
        <v>221</v>
      </c>
      <c r="D222" s="327" t="s">
        <v>3261</v>
      </c>
      <c r="E222" s="66" t="s">
        <v>63</v>
      </c>
      <c r="F222" s="66" t="s">
        <v>488</v>
      </c>
      <c r="G222" s="11" t="s">
        <v>134</v>
      </c>
      <c r="H222" s="6" t="s">
        <v>135</v>
      </c>
      <c r="I222" s="6" t="s">
        <v>135</v>
      </c>
      <c r="J222" s="6" t="s">
        <v>134</v>
      </c>
      <c r="K222" s="12">
        <v>0</v>
      </c>
      <c r="L222" s="12">
        <v>0</v>
      </c>
      <c r="M222" s="10">
        <v>0</v>
      </c>
      <c r="N222" s="12">
        <v>0</v>
      </c>
      <c r="O222" s="12">
        <v>0</v>
      </c>
      <c r="P222" s="10">
        <v>0</v>
      </c>
      <c r="Q222" s="12">
        <v>0</v>
      </c>
      <c r="R222" s="12">
        <v>0</v>
      </c>
      <c r="S222" s="10">
        <v>0</v>
      </c>
      <c r="T222" s="12">
        <v>0</v>
      </c>
      <c r="U222" s="12">
        <v>0</v>
      </c>
      <c r="V222" s="10">
        <v>0</v>
      </c>
      <c r="W222" s="12">
        <v>0</v>
      </c>
      <c r="X222" s="12">
        <v>0</v>
      </c>
      <c r="Y222" s="10">
        <v>0</v>
      </c>
    </row>
    <row r="223" spans="1:25" ht="15.6" x14ac:dyDescent="0.3">
      <c r="A223" s="9" t="s">
        <v>131</v>
      </c>
      <c r="B223" s="6">
        <v>2022</v>
      </c>
      <c r="C223" s="326">
        <v>222</v>
      </c>
      <c r="D223" s="66" t="s">
        <v>489</v>
      </c>
      <c r="E223" s="66" t="s">
        <v>63</v>
      </c>
      <c r="F223" s="66" t="s">
        <v>490</v>
      </c>
      <c r="G223" s="11" t="s">
        <v>134</v>
      </c>
      <c r="H223" s="6" t="s">
        <v>135</v>
      </c>
      <c r="I223" s="6" t="s">
        <v>135</v>
      </c>
      <c r="J223" s="6" t="s">
        <v>134</v>
      </c>
      <c r="K223" s="12">
        <v>0</v>
      </c>
      <c r="L223" s="12">
        <v>0</v>
      </c>
      <c r="M223" s="10">
        <v>0</v>
      </c>
      <c r="N223" s="12">
        <v>0</v>
      </c>
      <c r="O223" s="12">
        <v>0</v>
      </c>
      <c r="P223" s="10">
        <v>0</v>
      </c>
      <c r="Q223" s="12">
        <v>0</v>
      </c>
      <c r="R223" s="12">
        <v>0</v>
      </c>
      <c r="S223" s="10">
        <v>0</v>
      </c>
      <c r="T223" s="12">
        <v>0</v>
      </c>
      <c r="U223" s="12">
        <v>0</v>
      </c>
      <c r="V223" s="10">
        <v>0</v>
      </c>
      <c r="W223" s="12">
        <v>0</v>
      </c>
      <c r="X223" s="12">
        <v>0</v>
      </c>
      <c r="Y223" s="10">
        <v>0</v>
      </c>
    </row>
    <row r="224" spans="1:25" ht="15.6" x14ac:dyDescent="0.3">
      <c r="A224" s="9" t="s">
        <v>131</v>
      </c>
      <c r="B224" s="6">
        <v>2022</v>
      </c>
      <c r="C224" s="326">
        <v>223</v>
      </c>
      <c r="D224" s="66" t="s">
        <v>491</v>
      </c>
      <c r="E224" s="66" t="s">
        <v>63</v>
      </c>
      <c r="F224" s="66" t="s">
        <v>492</v>
      </c>
      <c r="G224" s="11" t="s">
        <v>134</v>
      </c>
      <c r="H224" s="6" t="s">
        <v>135</v>
      </c>
      <c r="I224" s="6" t="s">
        <v>135</v>
      </c>
      <c r="J224" s="6" t="s">
        <v>134</v>
      </c>
      <c r="K224" s="12">
        <v>0</v>
      </c>
      <c r="L224" s="12">
        <v>0</v>
      </c>
      <c r="M224" s="10">
        <v>0</v>
      </c>
      <c r="N224" s="12">
        <v>0</v>
      </c>
      <c r="O224" s="12">
        <v>0</v>
      </c>
      <c r="P224" s="10">
        <v>0</v>
      </c>
      <c r="Q224" s="12">
        <v>0</v>
      </c>
      <c r="R224" s="12">
        <v>0</v>
      </c>
      <c r="S224" s="10">
        <v>0</v>
      </c>
      <c r="T224" s="12">
        <v>0</v>
      </c>
      <c r="U224" s="12">
        <v>0</v>
      </c>
      <c r="V224" s="10">
        <v>0</v>
      </c>
      <c r="W224" s="12">
        <v>0</v>
      </c>
      <c r="X224" s="12">
        <v>0</v>
      </c>
      <c r="Y224" s="10">
        <v>0</v>
      </c>
    </row>
    <row r="225" spans="1:25" ht="15.6" x14ac:dyDescent="0.3">
      <c r="A225" s="9" t="s">
        <v>131</v>
      </c>
      <c r="B225" s="6">
        <v>2022</v>
      </c>
      <c r="C225" s="326">
        <v>224</v>
      </c>
      <c r="D225" s="66" t="s">
        <v>493</v>
      </c>
      <c r="E225" s="66" t="s">
        <v>63</v>
      </c>
      <c r="F225" s="66" t="s">
        <v>494</v>
      </c>
      <c r="G225" s="11" t="s">
        <v>134</v>
      </c>
      <c r="H225" s="6" t="s">
        <v>135</v>
      </c>
      <c r="I225" s="6" t="s">
        <v>135</v>
      </c>
      <c r="J225" s="6" t="s">
        <v>134</v>
      </c>
      <c r="K225" s="12">
        <v>0</v>
      </c>
      <c r="L225" s="12">
        <v>0</v>
      </c>
      <c r="M225" s="10">
        <v>0</v>
      </c>
      <c r="N225" s="12">
        <v>0</v>
      </c>
      <c r="O225" s="12">
        <v>0</v>
      </c>
      <c r="P225" s="10">
        <v>0</v>
      </c>
      <c r="Q225" s="12">
        <v>0</v>
      </c>
      <c r="R225" s="12">
        <v>0</v>
      </c>
      <c r="S225" s="10">
        <v>0</v>
      </c>
      <c r="T225" s="12">
        <v>0</v>
      </c>
      <c r="U225" s="12">
        <v>0</v>
      </c>
      <c r="V225" s="10">
        <v>0</v>
      </c>
      <c r="W225" s="12">
        <v>0</v>
      </c>
      <c r="X225" s="12">
        <v>0</v>
      </c>
      <c r="Y225" s="10">
        <v>0</v>
      </c>
    </row>
    <row r="226" spans="1:25" ht="15.6" x14ac:dyDescent="0.3">
      <c r="A226" s="9" t="s">
        <v>131</v>
      </c>
      <c r="B226" s="6">
        <v>2022</v>
      </c>
      <c r="C226" s="326">
        <v>225</v>
      </c>
      <c r="D226" s="66" t="s">
        <v>495</v>
      </c>
      <c r="E226" s="66" t="s">
        <v>63</v>
      </c>
      <c r="F226" s="66" t="s">
        <v>496</v>
      </c>
      <c r="G226" s="11" t="s">
        <v>134</v>
      </c>
      <c r="H226" s="6" t="s">
        <v>135</v>
      </c>
      <c r="I226" s="6" t="s">
        <v>135</v>
      </c>
      <c r="J226" s="6" t="s">
        <v>134</v>
      </c>
      <c r="K226" s="12">
        <v>0</v>
      </c>
      <c r="L226" s="12">
        <v>0</v>
      </c>
      <c r="M226" s="10">
        <v>0</v>
      </c>
      <c r="N226" s="12">
        <v>0</v>
      </c>
      <c r="O226" s="12">
        <v>0</v>
      </c>
      <c r="P226" s="10">
        <v>0</v>
      </c>
      <c r="Q226" s="12">
        <v>0</v>
      </c>
      <c r="R226" s="12">
        <v>0</v>
      </c>
      <c r="S226" s="10">
        <v>0</v>
      </c>
      <c r="T226" s="12">
        <v>0</v>
      </c>
      <c r="U226" s="12">
        <v>0</v>
      </c>
      <c r="V226" s="10">
        <v>0</v>
      </c>
      <c r="W226" s="12">
        <v>0</v>
      </c>
      <c r="X226" s="12">
        <v>0</v>
      </c>
      <c r="Y226" s="10">
        <v>0</v>
      </c>
    </row>
    <row r="227" spans="1:25" ht="15.6" x14ac:dyDescent="0.3">
      <c r="A227" s="9" t="s">
        <v>131</v>
      </c>
      <c r="B227" s="6">
        <v>2022</v>
      </c>
      <c r="C227" s="326">
        <v>226</v>
      </c>
      <c r="D227" s="66" t="s">
        <v>497</v>
      </c>
      <c r="E227" s="66" t="s">
        <v>63</v>
      </c>
      <c r="F227" s="66" t="s">
        <v>498</v>
      </c>
      <c r="G227" s="11" t="s">
        <v>134</v>
      </c>
      <c r="H227" s="6" t="s">
        <v>135</v>
      </c>
      <c r="I227" s="6" t="s">
        <v>135</v>
      </c>
      <c r="J227" s="6" t="s">
        <v>134</v>
      </c>
      <c r="K227" s="12">
        <v>0</v>
      </c>
      <c r="L227" s="12">
        <v>0</v>
      </c>
      <c r="M227" s="10">
        <v>0</v>
      </c>
      <c r="N227" s="12">
        <v>0</v>
      </c>
      <c r="O227" s="12">
        <v>0</v>
      </c>
      <c r="P227" s="10">
        <v>0</v>
      </c>
      <c r="Q227" s="12">
        <v>0</v>
      </c>
      <c r="R227" s="12">
        <v>0</v>
      </c>
      <c r="S227" s="10">
        <v>0</v>
      </c>
      <c r="T227" s="12">
        <v>0</v>
      </c>
      <c r="U227" s="12">
        <v>0</v>
      </c>
      <c r="V227" s="10">
        <v>0</v>
      </c>
      <c r="W227" s="12">
        <v>0</v>
      </c>
      <c r="X227" s="12">
        <v>0</v>
      </c>
      <c r="Y227" s="10">
        <v>0</v>
      </c>
    </row>
    <row r="228" spans="1:25" ht="15.6" x14ac:dyDescent="0.3">
      <c r="A228" s="9" t="s">
        <v>131</v>
      </c>
      <c r="B228" s="6">
        <v>2022</v>
      </c>
      <c r="C228" s="326">
        <v>227</v>
      </c>
      <c r="D228" s="66" t="s">
        <v>499</v>
      </c>
      <c r="E228" s="66" t="s">
        <v>63</v>
      </c>
      <c r="F228" s="66" t="s">
        <v>134</v>
      </c>
      <c r="G228" s="13" t="s">
        <v>500</v>
      </c>
      <c r="H228" s="6" t="s">
        <v>135</v>
      </c>
      <c r="I228" s="6" t="s">
        <v>135</v>
      </c>
      <c r="J228" s="6" t="s">
        <v>134</v>
      </c>
      <c r="K228" s="12">
        <v>0</v>
      </c>
      <c r="L228" s="12">
        <v>0</v>
      </c>
      <c r="M228" s="10">
        <v>0</v>
      </c>
      <c r="N228" s="12">
        <v>0</v>
      </c>
      <c r="O228" s="12">
        <v>0</v>
      </c>
      <c r="P228" s="10">
        <v>0</v>
      </c>
      <c r="Q228" s="12">
        <v>0</v>
      </c>
      <c r="R228" s="12">
        <v>0</v>
      </c>
      <c r="S228" s="10">
        <v>0</v>
      </c>
      <c r="T228" s="12">
        <v>0</v>
      </c>
      <c r="U228" s="12">
        <v>0</v>
      </c>
      <c r="V228" s="10">
        <v>0</v>
      </c>
      <c r="W228" s="12">
        <v>0</v>
      </c>
      <c r="X228" s="12">
        <v>0</v>
      </c>
      <c r="Y228" s="10">
        <v>0</v>
      </c>
    </row>
    <row r="229" spans="1:25" ht="15.6" x14ac:dyDescent="0.3">
      <c r="A229" s="9" t="s">
        <v>131</v>
      </c>
      <c r="B229" s="6">
        <v>2022</v>
      </c>
      <c r="C229" s="326">
        <v>228</v>
      </c>
      <c r="D229" s="66" t="s">
        <v>501</v>
      </c>
      <c r="E229" s="66" t="s">
        <v>63</v>
      </c>
      <c r="F229" s="66" t="s">
        <v>502</v>
      </c>
      <c r="G229" s="11" t="s">
        <v>134</v>
      </c>
      <c r="H229" s="6" t="s">
        <v>135</v>
      </c>
      <c r="I229" s="6" t="s">
        <v>135</v>
      </c>
      <c r="J229" s="6" t="s">
        <v>134</v>
      </c>
      <c r="K229" s="12">
        <v>0</v>
      </c>
      <c r="L229" s="12">
        <v>0</v>
      </c>
      <c r="M229" s="10">
        <v>0</v>
      </c>
      <c r="N229" s="12">
        <v>0</v>
      </c>
      <c r="O229" s="12">
        <v>0</v>
      </c>
      <c r="P229" s="10">
        <v>0</v>
      </c>
      <c r="Q229" s="12">
        <v>0</v>
      </c>
      <c r="R229" s="12">
        <v>0</v>
      </c>
      <c r="S229" s="10">
        <v>0</v>
      </c>
      <c r="T229" s="12">
        <v>0</v>
      </c>
      <c r="U229" s="12">
        <v>0</v>
      </c>
      <c r="V229" s="10">
        <v>0</v>
      </c>
      <c r="W229" s="12">
        <v>0</v>
      </c>
      <c r="X229" s="12">
        <v>0</v>
      </c>
      <c r="Y229" s="10">
        <v>0</v>
      </c>
    </row>
    <row r="230" spans="1:25" ht="15.6" x14ac:dyDescent="0.3">
      <c r="A230" s="9" t="s">
        <v>131</v>
      </c>
      <c r="B230" s="6">
        <v>2022</v>
      </c>
      <c r="C230" s="326">
        <v>229</v>
      </c>
      <c r="D230" s="66" t="s">
        <v>503</v>
      </c>
      <c r="E230" s="66" t="s">
        <v>63</v>
      </c>
      <c r="F230" s="66" t="s">
        <v>504</v>
      </c>
      <c r="G230" s="11" t="s">
        <v>134</v>
      </c>
      <c r="H230" s="6" t="s">
        <v>135</v>
      </c>
      <c r="I230" s="6" t="s">
        <v>135</v>
      </c>
      <c r="J230" s="6" t="s">
        <v>134</v>
      </c>
      <c r="K230" s="12">
        <v>0</v>
      </c>
      <c r="L230" s="12">
        <v>0</v>
      </c>
      <c r="M230" s="10">
        <v>0</v>
      </c>
      <c r="N230" s="12">
        <v>0</v>
      </c>
      <c r="O230" s="12">
        <v>0</v>
      </c>
      <c r="P230" s="10">
        <v>0</v>
      </c>
      <c r="Q230" s="12">
        <v>0</v>
      </c>
      <c r="R230" s="12">
        <v>0</v>
      </c>
      <c r="S230" s="10">
        <v>0</v>
      </c>
      <c r="T230" s="12">
        <v>0</v>
      </c>
      <c r="U230" s="12">
        <v>0</v>
      </c>
      <c r="V230" s="10">
        <v>0</v>
      </c>
      <c r="W230" s="12">
        <v>0</v>
      </c>
      <c r="X230" s="12">
        <v>0</v>
      </c>
      <c r="Y230" s="10">
        <v>0</v>
      </c>
    </row>
    <row r="231" spans="1:25" ht="15.6" x14ac:dyDescent="0.3">
      <c r="A231" s="9" t="s">
        <v>131</v>
      </c>
      <c r="B231" s="6">
        <v>2022</v>
      </c>
      <c r="C231" s="326">
        <v>230</v>
      </c>
      <c r="D231" s="327" t="s">
        <v>3262</v>
      </c>
      <c r="E231" s="66" t="s">
        <v>63</v>
      </c>
      <c r="F231" s="66" t="s">
        <v>505</v>
      </c>
      <c r="G231" s="11" t="s">
        <v>134</v>
      </c>
      <c r="H231" s="6" t="s">
        <v>135</v>
      </c>
      <c r="I231" s="6" t="s">
        <v>135</v>
      </c>
      <c r="J231" s="6" t="s">
        <v>134</v>
      </c>
      <c r="K231" s="12">
        <v>0</v>
      </c>
      <c r="L231" s="12">
        <v>0</v>
      </c>
      <c r="M231" s="10">
        <v>0</v>
      </c>
      <c r="N231" s="12">
        <v>0</v>
      </c>
      <c r="O231" s="12">
        <v>0</v>
      </c>
      <c r="P231" s="10">
        <v>0</v>
      </c>
      <c r="Q231" s="12">
        <v>0</v>
      </c>
      <c r="R231" s="12">
        <v>0</v>
      </c>
      <c r="S231" s="10">
        <v>0</v>
      </c>
      <c r="T231" s="12">
        <v>0</v>
      </c>
      <c r="U231" s="12">
        <v>0</v>
      </c>
      <c r="V231" s="10">
        <v>0</v>
      </c>
      <c r="W231" s="12">
        <v>0</v>
      </c>
      <c r="X231" s="12">
        <v>0</v>
      </c>
      <c r="Y231" s="10">
        <v>0</v>
      </c>
    </row>
    <row r="232" spans="1:25" x14ac:dyDescent="0.3">
      <c r="A232" s="9" t="s">
        <v>131</v>
      </c>
      <c r="B232" s="6">
        <v>2022</v>
      </c>
      <c r="C232" s="10">
        <v>231</v>
      </c>
      <c r="D232" s="6" t="s">
        <v>506</v>
      </c>
      <c r="E232" s="6" t="s">
        <v>63</v>
      </c>
      <c r="F232" s="6" t="s">
        <v>507</v>
      </c>
      <c r="G232" s="11" t="s">
        <v>134</v>
      </c>
      <c r="H232" s="6" t="s">
        <v>135</v>
      </c>
      <c r="I232" s="6" t="s">
        <v>135</v>
      </c>
      <c r="J232" s="6" t="s">
        <v>134</v>
      </c>
      <c r="K232" s="12">
        <v>0</v>
      </c>
      <c r="L232" s="12">
        <v>0</v>
      </c>
      <c r="M232" s="10">
        <v>0</v>
      </c>
      <c r="N232" s="12">
        <v>0</v>
      </c>
      <c r="O232" s="12">
        <v>0</v>
      </c>
      <c r="P232" s="10">
        <v>0</v>
      </c>
      <c r="Q232" s="12">
        <v>0</v>
      </c>
      <c r="R232" s="12">
        <v>0</v>
      </c>
      <c r="S232" s="10">
        <v>0</v>
      </c>
      <c r="T232" s="12">
        <v>0</v>
      </c>
      <c r="U232" s="12">
        <v>0</v>
      </c>
      <c r="V232" s="10">
        <v>0</v>
      </c>
      <c r="W232" s="12">
        <v>0</v>
      </c>
      <c r="X232" s="12">
        <v>0</v>
      </c>
      <c r="Y232" s="10">
        <v>0</v>
      </c>
    </row>
    <row r="233" spans="1:25" x14ac:dyDescent="0.3">
      <c r="A233" s="9" t="s">
        <v>131</v>
      </c>
      <c r="B233" s="6">
        <v>2022</v>
      </c>
      <c r="C233" s="10">
        <v>232</v>
      </c>
      <c r="D233" s="6" t="s">
        <v>508</v>
      </c>
      <c r="E233" s="6" t="s">
        <v>63</v>
      </c>
      <c r="F233" s="6" t="s">
        <v>134</v>
      </c>
      <c r="G233" s="13" t="s">
        <v>509</v>
      </c>
      <c r="H233" s="6" t="s">
        <v>135</v>
      </c>
      <c r="I233" s="6" t="s">
        <v>135</v>
      </c>
      <c r="J233" s="6" t="s">
        <v>134</v>
      </c>
      <c r="K233" s="12">
        <v>0</v>
      </c>
      <c r="L233" s="12">
        <v>0</v>
      </c>
      <c r="M233" s="10">
        <v>0</v>
      </c>
      <c r="N233" s="12">
        <v>0</v>
      </c>
      <c r="O233" s="12">
        <v>0</v>
      </c>
      <c r="P233" s="10">
        <v>0</v>
      </c>
      <c r="Q233" s="12">
        <v>0</v>
      </c>
      <c r="R233" s="12">
        <v>0</v>
      </c>
      <c r="S233" s="10">
        <v>0</v>
      </c>
      <c r="T233" s="12">
        <v>0</v>
      </c>
      <c r="U233" s="12">
        <v>0</v>
      </c>
      <c r="V233" s="10">
        <v>0</v>
      </c>
      <c r="W233" s="12">
        <v>0</v>
      </c>
      <c r="X233" s="12">
        <v>0</v>
      </c>
      <c r="Y233" s="10">
        <v>0</v>
      </c>
    </row>
    <row r="234" spans="1:25" x14ac:dyDescent="0.3">
      <c r="A234" s="9" t="s">
        <v>131</v>
      </c>
      <c r="B234" s="6">
        <v>2022</v>
      </c>
      <c r="C234" s="10">
        <v>233</v>
      </c>
      <c r="D234" s="6" t="s">
        <v>510</v>
      </c>
      <c r="E234" s="6" t="s">
        <v>63</v>
      </c>
      <c r="F234" s="6" t="s">
        <v>511</v>
      </c>
      <c r="G234" s="11" t="s">
        <v>134</v>
      </c>
      <c r="H234" s="6" t="s">
        <v>135</v>
      </c>
      <c r="I234" s="6" t="s">
        <v>135</v>
      </c>
      <c r="J234" s="6" t="s">
        <v>134</v>
      </c>
      <c r="K234" s="12">
        <v>100</v>
      </c>
      <c r="L234" s="12">
        <v>5</v>
      </c>
      <c r="M234" s="10">
        <v>272</v>
      </c>
      <c r="N234" s="12">
        <v>100</v>
      </c>
      <c r="O234" s="12">
        <v>5</v>
      </c>
      <c r="P234" s="10">
        <v>142</v>
      </c>
      <c r="Q234" s="12">
        <v>0</v>
      </c>
      <c r="R234" s="12">
        <v>0</v>
      </c>
      <c r="S234" s="10">
        <v>0</v>
      </c>
      <c r="T234" s="12">
        <v>0</v>
      </c>
      <c r="U234" s="12">
        <v>0</v>
      </c>
      <c r="V234" s="10">
        <v>0</v>
      </c>
      <c r="W234" s="12">
        <v>0</v>
      </c>
      <c r="X234" s="12">
        <v>0</v>
      </c>
      <c r="Y234" s="10">
        <v>0</v>
      </c>
    </row>
    <row r="235" spans="1:25" x14ac:dyDescent="0.3">
      <c r="A235" s="9" t="s">
        <v>131</v>
      </c>
      <c r="B235" s="6">
        <v>2022</v>
      </c>
      <c r="C235" s="10">
        <v>234</v>
      </c>
      <c r="D235" s="6" t="s">
        <v>512</v>
      </c>
      <c r="E235" s="6" t="s">
        <v>63</v>
      </c>
      <c r="F235" s="6" t="s">
        <v>511</v>
      </c>
      <c r="G235" s="11" t="s">
        <v>134</v>
      </c>
      <c r="H235" s="6" t="s">
        <v>135</v>
      </c>
      <c r="I235" s="6" t="s">
        <v>135</v>
      </c>
      <c r="J235" s="6" t="s">
        <v>134</v>
      </c>
      <c r="K235" s="12">
        <v>100</v>
      </c>
      <c r="L235" s="12">
        <v>27</v>
      </c>
      <c r="M235" s="10">
        <v>272</v>
      </c>
      <c r="N235" s="12">
        <v>100</v>
      </c>
      <c r="O235" s="12">
        <v>27</v>
      </c>
      <c r="P235" s="10">
        <v>142</v>
      </c>
      <c r="Q235" s="12">
        <v>0</v>
      </c>
      <c r="R235" s="12">
        <v>0</v>
      </c>
      <c r="S235" s="10">
        <v>0</v>
      </c>
      <c r="T235" s="12">
        <v>0</v>
      </c>
      <c r="U235" s="12">
        <v>0</v>
      </c>
      <c r="V235" s="10">
        <v>0</v>
      </c>
      <c r="W235" s="12">
        <v>0</v>
      </c>
      <c r="X235" s="12">
        <v>0</v>
      </c>
      <c r="Y235" s="10">
        <v>0</v>
      </c>
    </row>
    <row r="236" spans="1:25" x14ac:dyDescent="0.3">
      <c r="A236" s="9" t="s">
        <v>131</v>
      </c>
      <c r="B236" s="6">
        <v>2022</v>
      </c>
      <c r="C236" s="10">
        <v>235</v>
      </c>
      <c r="D236" s="6" t="s">
        <v>513</v>
      </c>
      <c r="E236" s="6" t="s">
        <v>63</v>
      </c>
      <c r="F236" s="6" t="s">
        <v>511</v>
      </c>
      <c r="G236" s="11" t="s">
        <v>134</v>
      </c>
      <c r="H236" s="6" t="s">
        <v>135</v>
      </c>
      <c r="I236" s="6" t="s">
        <v>135</v>
      </c>
      <c r="J236" s="6" t="s">
        <v>134</v>
      </c>
      <c r="K236" s="12">
        <v>100</v>
      </c>
      <c r="L236" s="12">
        <v>27</v>
      </c>
      <c r="M236" s="10">
        <v>272</v>
      </c>
      <c r="N236" s="12">
        <v>100</v>
      </c>
      <c r="O236" s="12">
        <v>27</v>
      </c>
      <c r="P236" s="10">
        <v>142</v>
      </c>
      <c r="Q236" s="12">
        <v>0</v>
      </c>
      <c r="R236" s="12">
        <v>0</v>
      </c>
      <c r="S236" s="10">
        <v>0</v>
      </c>
      <c r="T236" s="12">
        <v>0</v>
      </c>
      <c r="U236" s="12">
        <v>0</v>
      </c>
      <c r="V236" s="10">
        <v>0</v>
      </c>
      <c r="W236" s="12">
        <v>0</v>
      </c>
      <c r="X236" s="12">
        <v>0</v>
      </c>
      <c r="Y236" s="10">
        <v>0</v>
      </c>
    </row>
    <row r="237" spans="1:25" x14ac:dyDescent="0.3">
      <c r="A237" s="9" t="s">
        <v>131</v>
      </c>
      <c r="B237" s="6">
        <v>2022</v>
      </c>
      <c r="C237" s="10">
        <v>236</v>
      </c>
      <c r="D237" s="6" t="s">
        <v>514</v>
      </c>
      <c r="E237" s="6" t="s">
        <v>63</v>
      </c>
      <c r="F237" s="6" t="s">
        <v>134</v>
      </c>
      <c r="G237" s="13" t="s">
        <v>515</v>
      </c>
      <c r="H237" s="6" t="s">
        <v>135</v>
      </c>
      <c r="I237" s="6" t="s">
        <v>135</v>
      </c>
      <c r="J237" s="6" t="s">
        <v>134</v>
      </c>
      <c r="K237" s="12">
        <v>0</v>
      </c>
      <c r="L237" s="12">
        <v>0</v>
      </c>
      <c r="M237" s="10">
        <v>0</v>
      </c>
      <c r="N237" s="12">
        <v>0</v>
      </c>
      <c r="O237" s="12">
        <v>0</v>
      </c>
      <c r="P237" s="10">
        <v>0</v>
      </c>
      <c r="Q237" s="12">
        <v>0</v>
      </c>
      <c r="R237" s="12">
        <v>0</v>
      </c>
      <c r="S237" s="10">
        <v>0</v>
      </c>
      <c r="T237" s="12">
        <v>0</v>
      </c>
      <c r="U237" s="12">
        <v>0</v>
      </c>
      <c r="V237" s="10">
        <v>0</v>
      </c>
      <c r="W237" s="12">
        <v>0</v>
      </c>
      <c r="X237" s="12">
        <v>0</v>
      </c>
      <c r="Y237" s="10">
        <v>0</v>
      </c>
    </row>
    <row r="238" spans="1:25" x14ac:dyDescent="0.3">
      <c r="A238" s="9" t="s">
        <v>131</v>
      </c>
      <c r="B238" s="6">
        <v>2022</v>
      </c>
      <c r="C238" s="10">
        <v>237</v>
      </c>
      <c r="D238" s="6" t="s">
        <v>516</v>
      </c>
      <c r="E238" s="6" t="s">
        <v>63</v>
      </c>
      <c r="F238" s="6" t="s">
        <v>517</v>
      </c>
      <c r="G238" s="11" t="s">
        <v>134</v>
      </c>
      <c r="H238" s="6" t="s">
        <v>135</v>
      </c>
      <c r="I238" s="6" t="s">
        <v>135</v>
      </c>
      <c r="J238" s="6" t="s">
        <v>134</v>
      </c>
      <c r="K238" s="12">
        <v>0</v>
      </c>
      <c r="L238" s="12">
        <v>0</v>
      </c>
      <c r="M238" s="10">
        <v>0</v>
      </c>
      <c r="N238" s="12">
        <v>0</v>
      </c>
      <c r="O238" s="12">
        <v>0</v>
      </c>
      <c r="P238" s="10">
        <v>0</v>
      </c>
      <c r="Q238" s="12">
        <v>0</v>
      </c>
      <c r="R238" s="12">
        <v>0</v>
      </c>
      <c r="S238" s="10">
        <v>0</v>
      </c>
      <c r="T238" s="12">
        <v>0</v>
      </c>
      <c r="U238" s="12">
        <v>0</v>
      </c>
      <c r="V238" s="10">
        <v>0</v>
      </c>
      <c r="W238" s="12">
        <v>0</v>
      </c>
      <c r="X238" s="12">
        <v>0</v>
      </c>
      <c r="Y238" s="10">
        <v>0</v>
      </c>
    </row>
    <row r="239" spans="1:25" x14ac:dyDescent="0.3">
      <c r="A239" s="9" t="s">
        <v>131</v>
      </c>
      <c r="B239" s="6">
        <v>2022</v>
      </c>
      <c r="C239" s="10">
        <v>238</v>
      </c>
      <c r="D239" s="6" t="s">
        <v>518</v>
      </c>
      <c r="E239" s="6" t="s">
        <v>63</v>
      </c>
      <c r="F239" s="6" t="s">
        <v>519</v>
      </c>
      <c r="G239" s="11" t="s">
        <v>134</v>
      </c>
      <c r="H239" s="6" t="s">
        <v>135</v>
      </c>
      <c r="I239" s="6" t="s">
        <v>135</v>
      </c>
      <c r="J239" s="6" t="s">
        <v>134</v>
      </c>
      <c r="K239" s="12">
        <v>0</v>
      </c>
      <c r="L239" s="12">
        <v>0</v>
      </c>
      <c r="M239" s="10">
        <v>0</v>
      </c>
      <c r="N239" s="12">
        <v>0</v>
      </c>
      <c r="O239" s="12">
        <v>0</v>
      </c>
      <c r="P239" s="10">
        <v>0</v>
      </c>
      <c r="Q239" s="12">
        <v>0</v>
      </c>
      <c r="R239" s="12">
        <v>0</v>
      </c>
      <c r="S239" s="10">
        <v>0</v>
      </c>
      <c r="T239" s="12">
        <v>0</v>
      </c>
      <c r="U239" s="12">
        <v>0</v>
      </c>
      <c r="V239" s="10">
        <v>0</v>
      </c>
      <c r="W239" s="12">
        <v>0</v>
      </c>
      <c r="X239" s="12">
        <v>0</v>
      </c>
      <c r="Y239" s="10">
        <v>0</v>
      </c>
    </row>
    <row r="240" spans="1:25" x14ac:dyDescent="0.3">
      <c r="A240" s="9" t="s">
        <v>131</v>
      </c>
      <c r="B240" s="6">
        <v>2022</v>
      </c>
      <c r="C240" s="10">
        <v>239</v>
      </c>
      <c r="D240" s="6" t="s">
        <v>520</v>
      </c>
      <c r="E240" s="6" t="s">
        <v>63</v>
      </c>
      <c r="F240" s="6" t="s">
        <v>521</v>
      </c>
      <c r="G240" s="11" t="s">
        <v>134</v>
      </c>
      <c r="H240" s="6" t="s">
        <v>135</v>
      </c>
      <c r="I240" s="6" t="s">
        <v>135</v>
      </c>
      <c r="J240" s="6" t="s">
        <v>134</v>
      </c>
      <c r="K240" s="12">
        <v>0</v>
      </c>
      <c r="L240" s="12">
        <v>0</v>
      </c>
      <c r="M240" s="10">
        <v>0</v>
      </c>
      <c r="N240" s="12">
        <v>0</v>
      </c>
      <c r="O240" s="12">
        <v>0</v>
      </c>
      <c r="P240" s="10">
        <v>0</v>
      </c>
      <c r="Q240" s="12">
        <v>0</v>
      </c>
      <c r="R240" s="12">
        <v>0</v>
      </c>
      <c r="S240" s="10">
        <v>0</v>
      </c>
      <c r="T240" s="12">
        <v>0</v>
      </c>
      <c r="U240" s="12">
        <v>0</v>
      </c>
      <c r="V240" s="10">
        <v>0</v>
      </c>
      <c r="W240" s="12">
        <v>0</v>
      </c>
      <c r="X240" s="12">
        <v>0</v>
      </c>
      <c r="Y240" s="10">
        <v>0</v>
      </c>
    </row>
    <row r="241" spans="1:25" x14ac:dyDescent="0.3">
      <c r="A241" s="9" t="s">
        <v>131</v>
      </c>
      <c r="B241" s="6">
        <v>2022</v>
      </c>
      <c r="C241" s="10">
        <v>240</v>
      </c>
      <c r="D241" s="6" t="s">
        <v>522</v>
      </c>
      <c r="E241" s="6" t="s">
        <v>63</v>
      </c>
      <c r="F241" s="6" t="s">
        <v>521</v>
      </c>
      <c r="G241" s="11" t="s">
        <v>134</v>
      </c>
      <c r="H241" s="6" t="s">
        <v>135</v>
      </c>
      <c r="I241" s="6" t="s">
        <v>135</v>
      </c>
      <c r="J241" s="6" t="s">
        <v>134</v>
      </c>
      <c r="K241" s="12">
        <v>100</v>
      </c>
      <c r="L241" s="12">
        <v>27</v>
      </c>
      <c r="M241" s="10">
        <v>273</v>
      </c>
      <c r="N241" s="12">
        <v>100</v>
      </c>
      <c r="O241" s="12">
        <v>27</v>
      </c>
      <c r="P241" s="10">
        <v>142</v>
      </c>
      <c r="Q241" s="12">
        <v>0</v>
      </c>
      <c r="R241" s="12">
        <v>0</v>
      </c>
      <c r="S241" s="10">
        <v>0</v>
      </c>
      <c r="T241" s="12">
        <v>0</v>
      </c>
      <c r="U241" s="12">
        <v>0</v>
      </c>
      <c r="V241" s="10">
        <v>0</v>
      </c>
      <c r="W241" s="12">
        <v>0</v>
      </c>
      <c r="X241" s="12">
        <v>0</v>
      </c>
      <c r="Y241" s="10">
        <v>0</v>
      </c>
    </row>
    <row r="242" spans="1:25" x14ac:dyDescent="0.3">
      <c r="A242" s="9" t="s">
        <v>131</v>
      </c>
      <c r="B242" s="6">
        <v>2022</v>
      </c>
      <c r="C242" s="10">
        <v>241</v>
      </c>
      <c r="D242" s="6" t="s">
        <v>523</v>
      </c>
      <c r="E242" s="6" t="s">
        <v>63</v>
      </c>
      <c r="F242" s="6" t="s">
        <v>521</v>
      </c>
      <c r="G242" s="11" t="s">
        <v>134</v>
      </c>
      <c r="H242" s="6" t="s">
        <v>135</v>
      </c>
      <c r="I242" s="6" t="s">
        <v>135</v>
      </c>
      <c r="J242" s="6" t="s">
        <v>134</v>
      </c>
      <c r="K242" s="12">
        <v>100</v>
      </c>
      <c r="L242" s="12">
        <v>27</v>
      </c>
      <c r="M242" s="10">
        <v>273</v>
      </c>
      <c r="N242" s="12">
        <v>100</v>
      </c>
      <c r="O242" s="12">
        <v>27</v>
      </c>
      <c r="P242" s="10">
        <v>142</v>
      </c>
      <c r="Q242" s="12">
        <v>0</v>
      </c>
      <c r="R242" s="12">
        <v>0</v>
      </c>
      <c r="S242" s="10">
        <v>0</v>
      </c>
      <c r="T242" s="12">
        <v>0</v>
      </c>
      <c r="U242" s="12">
        <v>0</v>
      </c>
      <c r="V242" s="10">
        <v>0</v>
      </c>
      <c r="W242" s="12">
        <v>0</v>
      </c>
      <c r="X242" s="12">
        <v>0</v>
      </c>
      <c r="Y242" s="10">
        <v>0</v>
      </c>
    </row>
    <row r="243" spans="1:25" x14ac:dyDescent="0.3">
      <c r="A243" s="9" t="s">
        <v>131</v>
      </c>
      <c r="B243" s="6">
        <v>2022</v>
      </c>
      <c r="C243" s="10">
        <v>242</v>
      </c>
      <c r="D243" s="6" t="s">
        <v>524</v>
      </c>
      <c r="E243" s="6" t="s">
        <v>63</v>
      </c>
      <c r="F243" s="6" t="s">
        <v>521</v>
      </c>
      <c r="G243" s="11" t="s">
        <v>134</v>
      </c>
      <c r="H243" s="6" t="s">
        <v>135</v>
      </c>
      <c r="I243" s="6" t="s">
        <v>135</v>
      </c>
      <c r="J243" s="6" t="s">
        <v>134</v>
      </c>
      <c r="K243" s="12">
        <v>100</v>
      </c>
      <c r="L243" s="12">
        <v>27</v>
      </c>
      <c r="M243" s="10">
        <v>273</v>
      </c>
      <c r="N243" s="12">
        <v>0</v>
      </c>
      <c r="O243" s="12">
        <v>0</v>
      </c>
      <c r="P243" s="10">
        <v>0</v>
      </c>
      <c r="Q243" s="12">
        <v>0</v>
      </c>
      <c r="R243" s="12">
        <v>0</v>
      </c>
      <c r="S243" s="10">
        <v>0</v>
      </c>
      <c r="T243" s="12">
        <v>0</v>
      </c>
      <c r="U243" s="12">
        <v>0</v>
      </c>
      <c r="V243" s="10">
        <v>0</v>
      </c>
      <c r="W243" s="12">
        <v>0</v>
      </c>
      <c r="X243" s="12">
        <v>0</v>
      </c>
      <c r="Y243" s="10">
        <v>0</v>
      </c>
    </row>
    <row r="244" spans="1:25" x14ac:dyDescent="0.3">
      <c r="A244" s="9" t="s">
        <v>131</v>
      </c>
      <c r="B244" s="6">
        <v>2022</v>
      </c>
      <c r="C244" s="10">
        <v>243</v>
      </c>
      <c r="D244" s="6" t="s">
        <v>525</v>
      </c>
      <c r="E244" s="6" t="s">
        <v>63</v>
      </c>
      <c r="F244" s="6" t="s">
        <v>526</v>
      </c>
      <c r="G244" s="11" t="s">
        <v>134</v>
      </c>
      <c r="H244" s="6" t="s">
        <v>135</v>
      </c>
      <c r="I244" s="6" t="s">
        <v>135</v>
      </c>
      <c r="J244" s="6" t="s">
        <v>134</v>
      </c>
      <c r="K244" s="12">
        <v>100</v>
      </c>
      <c r="L244" s="12">
        <v>5</v>
      </c>
      <c r="M244" s="10">
        <v>273</v>
      </c>
      <c r="N244" s="12">
        <v>100</v>
      </c>
      <c r="O244" s="12">
        <v>5</v>
      </c>
      <c r="P244" s="10">
        <v>142</v>
      </c>
      <c r="Q244" s="12">
        <v>0</v>
      </c>
      <c r="R244" s="12">
        <v>0</v>
      </c>
      <c r="S244" s="10">
        <v>0</v>
      </c>
      <c r="T244" s="12">
        <v>0</v>
      </c>
      <c r="U244" s="12">
        <v>0</v>
      </c>
      <c r="V244" s="10">
        <v>0</v>
      </c>
      <c r="W244" s="12">
        <v>0</v>
      </c>
      <c r="X244" s="12">
        <v>0</v>
      </c>
      <c r="Y244" s="10">
        <v>0</v>
      </c>
    </row>
    <row r="245" spans="1:25" x14ac:dyDescent="0.3">
      <c r="A245" s="9" t="s">
        <v>131</v>
      </c>
      <c r="B245" s="6">
        <v>2022</v>
      </c>
      <c r="C245" s="10">
        <v>244</v>
      </c>
      <c r="D245" s="6" t="s">
        <v>527</v>
      </c>
      <c r="E245" s="6" t="s">
        <v>63</v>
      </c>
      <c r="F245" s="6" t="s">
        <v>526</v>
      </c>
      <c r="G245" s="11" t="s">
        <v>134</v>
      </c>
      <c r="H245" s="6" t="s">
        <v>135</v>
      </c>
      <c r="I245" s="6" t="s">
        <v>135</v>
      </c>
      <c r="J245" s="6" t="s">
        <v>134</v>
      </c>
      <c r="K245" s="12">
        <v>100</v>
      </c>
      <c r="L245" s="12">
        <v>27</v>
      </c>
      <c r="M245" s="10">
        <v>273</v>
      </c>
      <c r="N245" s="12">
        <v>100</v>
      </c>
      <c r="O245" s="12">
        <v>27</v>
      </c>
      <c r="P245" s="10">
        <v>142</v>
      </c>
      <c r="Q245" s="12">
        <v>0</v>
      </c>
      <c r="R245" s="12">
        <v>0</v>
      </c>
      <c r="S245" s="10">
        <v>0</v>
      </c>
      <c r="T245" s="12">
        <v>0</v>
      </c>
      <c r="U245" s="12">
        <v>0</v>
      </c>
      <c r="V245" s="10">
        <v>0</v>
      </c>
      <c r="W245" s="12">
        <v>0</v>
      </c>
      <c r="X245" s="12">
        <v>0</v>
      </c>
      <c r="Y245" s="10">
        <v>0</v>
      </c>
    </row>
    <row r="246" spans="1:25" x14ac:dyDescent="0.3">
      <c r="A246" s="9" t="s">
        <v>131</v>
      </c>
      <c r="B246" s="6">
        <v>2022</v>
      </c>
      <c r="C246" s="10">
        <v>245</v>
      </c>
      <c r="D246" s="6" t="s">
        <v>528</v>
      </c>
      <c r="E246" s="6" t="s">
        <v>63</v>
      </c>
      <c r="F246" s="6" t="s">
        <v>526</v>
      </c>
      <c r="G246" s="11" t="s">
        <v>134</v>
      </c>
      <c r="H246" s="6" t="s">
        <v>135</v>
      </c>
      <c r="I246" s="6" t="s">
        <v>135</v>
      </c>
      <c r="J246" s="6" t="s">
        <v>134</v>
      </c>
      <c r="K246" s="12">
        <v>100</v>
      </c>
      <c r="L246" s="12">
        <v>5</v>
      </c>
      <c r="M246" s="10">
        <v>273</v>
      </c>
      <c r="N246" s="12">
        <v>100</v>
      </c>
      <c r="O246" s="12">
        <v>5</v>
      </c>
      <c r="P246" s="10">
        <v>142</v>
      </c>
      <c r="Q246" s="12">
        <v>0</v>
      </c>
      <c r="R246" s="12">
        <v>0</v>
      </c>
      <c r="S246" s="10">
        <v>0</v>
      </c>
      <c r="T246" s="12">
        <v>0</v>
      </c>
      <c r="U246" s="12">
        <v>0</v>
      </c>
      <c r="V246" s="10">
        <v>0</v>
      </c>
      <c r="W246" s="12">
        <v>0</v>
      </c>
      <c r="X246" s="12">
        <v>0</v>
      </c>
      <c r="Y246" s="10">
        <v>0</v>
      </c>
    </row>
    <row r="247" spans="1:25" x14ac:dyDescent="0.3">
      <c r="A247" s="9" t="s">
        <v>131</v>
      </c>
      <c r="B247" s="6">
        <v>2022</v>
      </c>
      <c r="C247" s="10">
        <v>246</v>
      </c>
      <c r="D247" s="6" t="s">
        <v>529</v>
      </c>
      <c r="E247" s="6" t="s">
        <v>63</v>
      </c>
      <c r="F247" s="6" t="s">
        <v>526</v>
      </c>
      <c r="G247" s="11" t="s">
        <v>134</v>
      </c>
      <c r="H247" s="6" t="s">
        <v>135</v>
      </c>
      <c r="I247" s="6" t="s">
        <v>135</v>
      </c>
      <c r="J247" s="6" t="s">
        <v>134</v>
      </c>
      <c r="K247" s="12">
        <v>100</v>
      </c>
      <c r="L247" s="12">
        <v>27</v>
      </c>
      <c r="M247" s="10">
        <v>273</v>
      </c>
      <c r="N247" s="12">
        <v>100</v>
      </c>
      <c r="O247" s="12">
        <v>27</v>
      </c>
      <c r="P247" s="10">
        <v>142</v>
      </c>
      <c r="Q247" s="12">
        <v>0</v>
      </c>
      <c r="R247" s="12">
        <v>0</v>
      </c>
      <c r="S247" s="10">
        <v>0</v>
      </c>
      <c r="T247" s="12">
        <v>0</v>
      </c>
      <c r="U247" s="12">
        <v>0</v>
      </c>
      <c r="V247" s="10">
        <v>0</v>
      </c>
      <c r="W247" s="12">
        <v>0</v>
      </c>
      <c r="X247" s="12">
        <v>0</v>
      </c>
      <c r="Y247" s="10">
        <v>0</v>
      </c>
    </row>
    <row r="248" spans="1:25" x14ac:dyDescent="0.3">
      <c r="A248" s="9" t="s">
        <v>131</v>
      </c>
      <c r="B248" s="6">
        <v>2022</v>
      </c>
      <c r="C248" s="10">
        <v>247</v>
      </c>
      <c r="D248" s="6" t="s">
        <v>530</v>
      </c>
      <c r="E248" s="6" t="s">
        <v>63</v>
      </c>
      <c r="F248" s="6" t="s">
        <v>526</v>
      </c>
      <c r="G248" s="11" t="s">
        <v>134</v>
      </c>
      <c r="H248" s="6" t="s">
        <v>135</v>
      </c>
      <c r="I248" s="6" t="s">
        <v>135</v>
      </c>
      <c r="J248" s="6" t="s">
        <v>134</v>
      </c>
      <c r="K248" s="12">
        <v>100</v>
      </c>
      <c r="L248" s="12">
        <v>27</v>
      </c>
      <c r="M248" s="10">
        <v>273</v>
      </c>
      <c r="N248" s="12">
        <v>100</v>
      </c>
      <c r="O248" s="12">
        <v>27</v>
      </c>
      <c r="P248" s="10">
        <v>142</v>
      </c>
      <c r="Q248" s="12">
        <v>0</v>
      </c>
      <c r="R248" s="12">
        <v>0</v>
      </c>
      <c r="S248" s="10">
        <v>0</v>
      </c>
      <c r="T248" s="12">
        <v>0</v>
      </c>
      <c r="U248" s="12">
        <v>0</v>
      </c>
      <c r="V248" s="10">
        <v>0</v>
      </c>
      <c r="W248" s="12">
        <v>0</v>
      </c>
      <c r="X248" s="12">
        <v>0</v>
      </c>
      <c r="Y248" s="10">
        <v>0</v>
      </c>
    </row>
    <row r="249" spans="1:25" x14ac:dyDescent="0.3">
      <c r="A249" s="9" t="s">
        <v>131</v>
      </c>
      <c r="B249" s="6">
        <v>2022</v>
      </c>
      <c r="C249" s="10">
        <v>248</v>
      </c>
      <c r="D249" s="6" t="s">
        <v>531</v>
      </c>
      <c r="E249" s="6" t="s">
        <v>63</v>
      </c>
      <c r="F249" s="6" t="s">
        <v>134</v>
      </c>
      <c r="G249" s="13" t="s">
        <v>532</v>
      </c>
      <c r="H249" s="6" t="s">
        <v>135</v>
      </c>
      <c r="I249" s="6" t="s">
        <v>135</v>
      </c>
      <c r="J249" s="6" t="s">
        <v>134</v>
      </c>
      <c r="K249" s="12">
        <v>0</v>
      </c>
      <c r="L249" s="12">
        <v>0</v>
      </c>
      <c r="M249" s="10">
        <v>0</v>
      </c>
      <c r="N249" s="12">
        <v>0</v>
      </c>
      <c r="O249" s="12">
        <v>0</v>
      </c>
      <c r="P249" s="10">
        <v>0</v>
      </c>
      <c r="Q249" s="12">
        <v>0</v>
      </c>
      <c r="R249" s="12">
        <v>0</v>
      </c>
      <c r="S249" s="10">
        <v>0</v>
      </c>
      <c r="T249" s="12">
        <v>0</v>
      </c>
      <c r="U249" s="12">
        <v>0</v>
      </c>
      <c r="V249" s="10">
        <v>0</v>
      </c>
      <c r="W249" s="12">
        <v>0</v>
      </c>
      <c r="X249" s="12">
        <v>0</v>
      </c>
      <c r="Y249" s="10">
        <v>0</v>
      </c>
    </row>
    <row r="250" spans="1:25" x14ac:dyDescent="0.3">
      <c r="A250" s="9" t="s">
        <v>131</v>
      </c>
      <c r="B250" s="6">
        <v>2022</v>
      </c>
      <c r="C250" s="10">
        <v>249</v>
      </c>
      <c r="D250" s="6" t="s">
        <v>533</v>
      </c>
      <c r="E250" s="6" t="s">
        <v>63</v>
      </c>
      <c r="F250" s="6" t="s">
        <v>534</v>
      </c>
      <c r="G250" s="11" t="s">
        <v>134</v>
      </c>
      <c r="H250" s="6" t="s">
        <v>135</v>
      </c>
      <c r="I250" s="6" t="s">
        <v>135</v>
      </c>
      <c r="J250" s="6" t="s">
        <v>134</v>
      </c>
      <c r="K250" s="12">
        <v>100</v>
      </c>
      <c r="L250" s="12">
        <v>27</v>
      </c>
      <c r="M250" s="10">
        <v>273</v>
      </c>
      <c r="N250" s="12">
        <v>0</v>
      </c>
      <c r="O250" s="12">
        <v>0</v>
      </c>
      <c r="P250" s="10">
        <v>0</v>
      </c>
      <c r="Q250" s="12">
        <v>0</v>
      </c>
      <c r="R250" s="12">
        <v>0</v>
      </c>
      <c r="S250" s="10">
        <v>0</v>
      </c>
      <c r="T250" s="12">
        <v>0</v>
      </c>
      <c r="U250" s="12">
        <v>0</v>
      </c>
      <c r="V250" s="10">
        <v>0</v>
      </c>
      <c r="W250" s="12">
        <v>0</v>
      </c>
      <c r="X250" s="12">
        <v>0</v>
      </c>
      <c r="Y250" s="10">
        <v>0</v>
      </c>
    </row>
    <row r="251" spans="1:25" x14ac:dyDescent="0.3">
      <c r="A251" s="9" t="s">
        <v>131</v>
      </c>
      <c r="B251" s="6">
        <v>2022</v>
      </c>
      <c r="C251" s="10">
        <v>250</v>
      </c>
      <c r="D251" s="6" t="s">
        <v>535</v>
      </c>
      <c r="E251" s="6" t="s">
        <v>63</v>
      </c>
      <c r="F251" s="6" t="s">
        <v>536</v>
      </c>
      <c r="G251" s="11" t="s">
        <v>134</v>
      </c>
      <c r="H251" s="6" t="s">
        <v>135</v>
      </c>
      <c r="I251" s="6" t="s">
        <v>135</v>
      </c>
      <c r="J251" s="6" t="s">
        <v>134</v>
      </c>
      <c r="K251" s="12">
        <v>0</v>
      </c>
      <c r="L251" s="12">
        <v>0</v>
      </c>
      <c r="M251" s="10">
        <v>0</v>
      </c>
      <c r="N251" s="12">
        <v>0</v>
      </c>
      <c r="O251" s="12">
        <v>0</v>
      </c>
      <c r="P251" s="10">
        <v>0</v>
      </c>
      <c r="Q251" s="12">
        <v>0</v>
      </c>
      <c r="R251" s="12">
        <v>0</v>
      </c>
      <c r="S251" s="10">
        <v>0</v>
      </c>
      <c r="T251" s="12">
        <v>0</v>
      </c>
      <c r="U251" s="12">
        <v>0</v>
      </c>
      <c r="V251" s="10">
        <v>0</v>
      </c>
      <c r="W251" s="12">
        <v>0</v>
      </c>
      <c r="X251" s="12">
        <v>0</v>
      </c>
      <c r="Y251" s="10">
        <v>0</v>
      </c>
    </row>
    <row r="252" spans="1:25" x14ac:dyDescent="0.3">
      <c r="A252" s="9" t="s">
        <v>131</v>
      </c>
      <c r="B252" s="6">
        <v>2022</v>
      </c>
      <c r="C252" s="10">
        <v>251</v>
      </c>
      <c r="D252" s="6" t="s">
        <v>537</v>
      </c>
      <c r="E252" s="6" t="s">
        <v>63</v>
      </c>
      <c r="F252" s="6" t="s">
        <v>134</v>
      </c>
      <c r="G252" s="13" t="s">
        <v>538</v>
      </c>
      <c r="H252" s="6" t="s">
        <v>135</v>
      </c>
      <c r="I252" s="6" t="s">
        <v>135</v>
      </c>
      <c r="J252" s="6" t="s">
        <v>134</v>
      </c>
      <c r="K252" s="12">
        <v>0</v>
      </c>
      <c r="L252" s="12">
        <v>0</v>
      </c>
      <c r="M252" s="10">
        <v>0</v>
      </c>
      <c r="N252" s="12">
        <v>0</v>
      </c>
      <c r="O252" s="12">
        <v>0</v>
      </c>
      <c r="P252" s="10">
        <v>0</v>
      </c>
      <c r="Q252" s="12">
        <v>0</v>
      </c>
      <c r="R252" s="12">
        <v>0</v>
      </c>
      <c r="S252" s="10">
        <v>0</v>
      </c>
      <c r="T252" s="12">
        <v>0</v>
      </c>
      <c r="U252" s="12">
        <v>0</v>
      </c>
      <c r="V252" s="10">
        <v>0</v>
      </c>
      <c r="W252" s="12">
        <v>0</v>
      </c>
      <c r="X252" s="12">
        <v>0</v>
      </c>
      <c r="Y252" s="10">
        <v>0</v>
      </c>
    </row>
    <row r="253" spans="1:25" x14ac:dyDescent="0.3">
      <c r="A253" s="9" t="s">
        <v>131</v>
      </c>
      <c r="B253" s="6">
        <v>2022</v>
      </c>
      <c r="C253" s="10">
        <v>252</v>
      </c>
      <c r="D253" s="6" t="s">
        <v>539</v>
      </c>
      <c r="E253" s="6" t="s">
        <v>63</v>
      </c>
      <c r="F253" s="6" t="s">
        <v>540</v>
      </c>
      <c r="G253" s="11" t="s">
        <v>134</v>
      </c>
      <c r="H253" s="6" t="s">
        <v>135</v>
      </c>
      <c r="I253" s="6" t="s">
        <v>135</v>
      </c>
      <c r="J253" s="6" t="s">
        <v>134</v>
      </c>
      <c r="K253" s="12">
        <v>100</v>
      </c>
      <c r="L253" s="12">
        <v>27</v>
      </c>
      <c r="M253" s="10">
        <v>273</v>
      </c>
      <c r="N253" s="12">
        <v>100</v>
      </c>
      <c r="O253" s="12">
        <v>27</v>
      </c>
      <c r="P253" s="10">
        <v>142</v>
      </c>
      <c r="Q253" s="12">
        <v>0</v>
      </c>
      <c r="R253" s="12">
        <v>0</v>
      </c>
      <c r="S253" s="10">
        <v>0</v>
      </c>
      <c r="T253" s="12">
        <v>0</v>
      </c>
      <c r="U253" s="12">
        <v>0</v>
      </c>
      <c r="V253" s="10">
        <v>0</v>
      </c>
      <c r="W253" s="12">
        <v>0</v>
      </c>
      <c r="X253" s="12">
        <v>0</v>
      </c>
      <c r="Y253" s="10">
        <v>0</v>
      </c>
    </row>
    <row r="254" spans="1:25" x14ac:dyDescent="0.3">
      <c r="A254" s="9" t="s">
        <v>131</v>
      </c>
      <c r="B254" s="6">
        <v>2022</v>
      </c>
      <c r="C254" s="10">
        <v>253</v>
      </c>
      <c r="D254" s="6" t="s">
        <v>541</v>
      </c>
      <c r="E254" s="6" t="s">
        <v>63</v>
      </c>
      <c r="F254" s="6" t="s">
        <v>540</v>
      </c>
      <c r="G254" s="11" t="s">
        <v>134</v>
      </c>
      <c r="H254" s="6" t="s">
        <v>135</v>
      </c>
      <c r="I254" s="6" t="s">
        <v>135</v>
      </c>
      <c r="J254" s="6" t="s">
        <v>134</v>
      </c>
      <c r="K254" s="12">
        <v>100</v>
      </c>
      <c r="L254" s="12">
        <v>27</v>
      </c>
      <c r="M254" s="10">
        <v>273</v>
      </c>
      <c r="N254" s="12">
        <v>100</v>
      </c>
      <c r="O254" s="12">
        <v>27</v>
      </c>
      <c r="P254" s="10">
        <v>142</v>
      </c>
      <c r="Q254" s="12">
        <v>0</v>
      </c>
      <c r="R254" s="12">
        <v>0</v>
      </c>
      <c r="S254" s="10">
        <v>0</v>
      </c>
      <c r="T254" s="12">
        <v>0</v>
      </c>
      <c r="U254" s="12">
        <v>0</v>
      </c>
      <c r="V254" s="10">
        <v>0</v>
      </c>
      <c r="W254" s="12">
        <v>0</v>
      </c>
      <c r="X254" s="12">
        <v>0</v>
      </c>
      <c r="Y254" s="10">
        <v>0</v>
      </c>
    </row>
    <row r="255" spans="1:25" x14ac:dyDescent="0.3">
      <c r="A255" s="9" t="s">
        <v>131</v>
      </c>
      <c r="B255" s="6">
        <v>2022</v>
      </c>
      <c r="C255" s="10">
        <v>254</v>
      </c>
      <c r="D255" s="6" t="s">
        <v>542</v>
      </c>
      <c r="E255" s="6" t="s">
        <v>63</v>
      </c>
      <c r="F255" s="6" t="s">
        <v>540</v>
      </c>
      <c r="G255" s="11" t="s">
        <v>134</v>
      </c>
      <c r="H255" s="6" t="s">
        <v>135</v>
      </c>
      <c r="I255" s="6" t="s">
        <v>135</v>
      </c>
      <c r="J255" s="6" t="s">
        <v>134</v>
      </c>
      <c r="K255" s="12">
        <v>100</v>
      </c>
      <c r="L255" s="12">
        <v>27</v>
      </c>
      <c r="M255" s="10">
        <v>273</v>
      </c>
      <c r="N255" s="12">
        <v>100</v>
      </c>
      <c r="O255" s="12">
        <v>27</v>
      </c>
      <c r="P255" s="10">
        <v>142</v>
      </c>
      <c r="Q255" s="12">
        <v>0</v>
      </c>
      <c r="R255" s="12">
        <v>0</v>
      </c>
      <c r="S255" s="10">
        <v>0</v>
      </c>
      <c r="T255" s="12">
        <v>0</v>
      </c>
      <c r="U255" s="12">
        <v>0</v>
      </c>
      <c r="V255" s="10">
        <v>0</v>
      </c>
      <c r="W255" s="12">
        <v>0</v>
      </c>
      <c r="X255" s="12">
        <v>0</v>
      </c>
      <c r="Y255" s="10">
        <v>0</v>
      </c>
    </row>
    <row r="256" spans="1:25" x14ac:dyDescent="0.3">
      <c r="A256" s="9" t="s">
        <v>131</v>
      </c>
      <c r="B256" s="6">
        <v>2022</v>
      </c>
      <c r="C256" s="10">
        <v>255</v>
      </c>
      <c r="D256" s="6" t="s">
        <v>543</v>
      </c>
      <c r="E256" s="6" t="s">
        <v>63</v>
      </c>
      <c r="F256" s="6" t="s">
        <v>544</v>
      </c>
      <c r="G256" s="11" t="s">
        <v>134</v>
      </c>
      <c r="H256" s="6" t="s">
        <v>135</v>
      </c>
      <c r="I256" s="6" t="s">
        <v>135</v>
      </c>
      <c r="J256" s="6" t="s">
        <v>134</v>
      </c>
      <c r="K256" s="12">
        <v>0</v>
      </c>
      <c r="L256" s="12">
        <v>0</v>
      </c>
      <c r="M256" s="10">
        <v>0</v>
      </c>
      <c r="N256" s="12">
        <v>0</v>
      </c>
      <c r="O256" s="12">
        <v>0</v>
      </c>
      <c r="P256" s="10">
        <v>0</v>
      </c>
      <c r="Q256" s="12">
        <v>0</v>
      </c>
      <c r="R256" s="12">
        <v>0</v>
      </c>
      <c r="S256" s="10">
        <v>0</v>
      </c>
      <c r="T256" s="12">
        <v>0</v>
      </c>
      <c r="U256" s="12">
        <v>0</v>
      </c>
      <c r="V256" s="10">
        <v>0</v>
      </c>
      <c r="W256" s="12">
        <v>0</v>
      </c>
      <c r="X256" s="12">
        <v>0</v>
      </c>
      <c r="Y256" s="10">
        <v>0</v>
      </c>
    </row>
    <row r="257" spans="1:25" x14ac:dyDescent="0.3">
      <c r="A257" s="9" t="s">
        <v>131</v>
      </c>
      <c r="B257" s="6">
        <v>2022</v>
      </c>
      <c r="C257" s="10">
        <v>256</v>
      </c>
      <c r="D257" s="6" t="s">
        <v>545</v>
      </c>
      <c r="E257" s="6" t="s">
        <v>63</v>
      </c>
      <c r="F257" s="6" t="s">
        <v>546</v>
      </c>
      <c r="G257" s="11" t="s">
        <v>134</v>
      </c>
      <c r="H257" s="6" t="s">
        <v>135</v>
      </c>
      <c r="I257" s="6" t="s">
        <v>135</v>
      </c>
      <c r="J257" s="6" t="s">
        <v>134</v>
      </c>
      <c r="K257" s="12">
        <v>0</v>
      </c>
      <c r="L257" s="12">
        <v>0</v>
      </c>
      <c r="M257" s="10">
        <v>0</v>
      </c>
      <c r="N257" s="12">
        <v>0</v>
      </c>
      <c r="O257" s="12">
        <v>0</v>
      </c>
      <c r="P257" s="10">
        <v>0</v>
      </c>
      <c r="Q257" s="12">
        <v>0</v>
      </c>
      <c r="R257" s="12">
        <v>0</v>
      </c>
      <c r="S257" s="10">
        <v>0</v>
      </c>
      <c r="T257" s="12">
        <v>0</v>
      </c>
      <c r="U257" s="12">
        <v>0</v>
      </c>
      <c r="V257" s="10">
        <v>0</v>
      </c>
      <c r="W257" s="12">
        <v>0</v>
      </c>
      <c r="X257" s="12">
        <v>0</v>
      </c>
      <c r="Y257" s="10">
        <v>0</v>
      </c>
    </row>
    <row r="258" spans="1:25" x14ac:dyDescent="0.3">
      <c r="A258" s="9" t="s">
        <v>131</v>
      </c>
      <c r="B258" s="6">
        <v>2022</v>
      </c>
      <c r="C258" s="10">
        <v>257</v>
      </c>
      <c r="D258" s="6" t="s">
        <v>547</v>
      </c>
      <c r="E258" s="6" t="s">
        <v>63</v>
      </c>
      <c r="F258" s="6" t="s">
        <v>546</v>
      </c>
      <c r="G258" s="11" t="s">
        <v>134</v>
      </c>
      <c r="H258" s="6" t="s">
        <v>135</v>
      </c>
      <c r="I258" s="6" t="s">
        <v>135</v>
      </c>
      <c r="J258" s="6" t="s">
        <v>134</v>
      </c>
      <c r="K258" s="12">
        <v>0</v>
      </c>
      <c r="L258" s="12">
        <v>0</v>
      </c>
      <c r="M258" s="10">
        <v>0</v>
      </c>
      <c r="N258" s="12">
        <v>0</v>
      </c>
      <c r="O258" s="12">
        <v>0</v>
      </c>
      <c r="P258" s="10">
        <v>0</v>
      </c>
      <c r="Q258" s="12">
        <v>0</v>
      </c>
      <c r="R258" s="12">
        <v>0</v>
      </c>
      <c r="S258" s="10">
        <v>0</v>
      </c>
      <c r="T258" s="12">
        <v>0</v>
      </c>
      <c r="U258" s="12">
        <v>0</v>
      </c>
      <c r="V258" s="10">
        <v>0</v>
      </c>
      <c r="W258" s="12">
        <v>0</v>
      </c>
      <c r="X258" s="12">
        <v>0</v>
      </c>
      <c r="Y258" s="10">
        <v>0</v>
      </c>
    </row>
    <row r="259" spans="1:25" x14ac:dyDescent="0.3">
      <c r="A259" s="9" t="s">
        <v>131</v>
      </c>
      <c r="B259" s="6">
        <v>2022</v>
      </c>
      <c r="C259" s="10">
        <v>258</v>
      </c>
      <c r="D259" s="6" t="s">
        <v>548</v>
      </c>
      <c r="E259" s="6" t="s">
        <v>63</v>
      </c>
      <c r="F259" s="6" t="s">
        <v>546</v>
      </c>
      <c r="G259" s="11" t="s">
        <v>134</v>
      </c>
      <c r="H259" s="6" t="s">
        <v>135</v>
      </c>
      <c r="I259" s="6" t="s">
        <v>135</v>
      </c>
      <c r="J259" s="6" t="s">
        <v>134</v>
      </c>
      <c r="K259" s="12">
        <v>0</v>
      </c>
      <c r="L259" s="12">
        <v>0</v>
      </c>
      <c r="M259" s="10">
        <v>0</v>
      </c>
      <c r="N259" s="12">
        <v>0</v>
      </c>
      <c r="O259" s="12">
        <v>0</v>
      </c>
      <c r="P259" s="10">
        <v>0</v>
      </c>
      <c r="Q259" s="12">
        <v>0</v>
      </c>
      <c r="R259" s="12">
        <v>0</v>
      </c>
      <c r="S259" s="10">
        <v>0</v>
      </c>
      <c r="T259" s="12">
        <v>0</v>
      </c>
      <c r="U259" s="12">
        <v>0</v>
      </c>
      <c r="V259" s="10">
        <v>0</v>
      </c>
      <c r="W259" s="12">
        <v>0</v>
      </c>
      <c r="X259" s="12">
        <v>0</v>
      </c>
      <c r="Y259" s="10">
        <v>0</v>
      </c>
    </row>
    <row r="260" spans="1:25" x14ac:dyDescent="0.3">
      <c r="A260" s="9" t="s">
        <v>131</v>
      </c>
      <c r="B260" s="6">
        <v>2022</v>
      </c>
      <c r="C260" s="10">
        <v>259</v>
      </c>
      <c r="D260" s="6" t="s">
        <v>549</v>
      </c>
      <c r="E260" s="6" t="s">
        <v>63</v>
      </c>
      <c r="F260" s="6" t="s">
        <v>546</v>
      </c>
      <c r="G260" s="11" t="s">
        <v>134</v>
      </c>
      <c r="H260" s="6" t="s">
        <v>135</v>
      </c>
      <c r="I260" s="6" t="s">
        <v>135</v>
      </c>
      <c r="J260" s="6" t="s">
        <v>134</v>
      </c>
      <c r="K260" s="12">
        <v>0</v>
      </c>
      <c r="L260" s="12">
        <v>0</v>
      </c>
      <c r="M260" s="10">
        <v>0</v>
      </c>
      <c r="N260" s="12">
        <v>0</v>
      </c>
      <c r="O260" s="12">
        <v>0</v>
      </c>
      <c r="P260" s="10">
        <v>0</v>
      </c>
      <c r="Q260" s="12">
        <v>0</v>
      </c>
      <c r="R260" s="12">
        <v>0</v>
      </c>
      <c r="S260" s="10">
        <v>0</v>
      </c>
      <c r="T260" s="12">
        <v>0</v>
      </c>
      <c r="U260" s="12">
        <v>0</v>
      </c>
      <c r="V260" s="10">
        <v>0</v>
      </c>
      <c r="W260" s="12">
        <v>0</v>
      </c>
      <c r="X260" s="12">
        <v>0</v>
      </c>
      <c r="Y260" s="10">
        <v>0</v>
      </c>
    </row>
    <row r="261" spans="1:25" x14ac:dyDescent="0.3">
      <c r="A261" s="9" t="s">
        <v>131</v>
      </c>
      <c r="B261" s="6">
        <v>2022</v>
      </c>
      <c r="C261" s="10">
        <v>260</v>
      </c>
      <c r="D261" s="6" t="s">
        <v>550</v>
      </c>
      <c r="E261" s="6" t="s">
        <v>63</v>
      </c>
      <c r="F261" s="6" t="s">
        <v>546</v>
      </c>
      <c r="G261" s="11" t="s">
        <v>134</v>
      </c>
      <c r="H261" s="6" t="s">
        <v>135</v>
      </c>
      <c r="I261" s="6" t="s">
        <v>135</v>
      </c>
      <c r="J261" s="6" t="s">
        <v>134</v>
      </c>
      <c r="K261" s="12">
        <v>0</v>
      </c>
      <c r="L261" s="12">
        <v>0</v>
      </c>
      <c r="M261" s="10">
        <v>0</v>
      </c>
      <c r="N261" s="12">
        <v>0</v>
      </c>
      <c r="O261" s="12">
        <v>0</v>
      </c>
      <c r="P261" s="10">
        <v>0</v>
      </c>
      <c r="Q261" s="12">
        <v>0</v>
      </c>
      <c r="R261" s="12">
        <v>0</v>
      </c>
      <c r="S261" s="10">
        <v>0</v>
      </c>
      <c r="T261" s="12">
        <v>0</v>
      </c>
      <c r="U261" s="12">
        <v>0</v>
      </c>
      <c r="V261" s="10">
        <v>0</v>
      </c>
      <c r="W261" s="12">
        <v>0</v>
      </c>
      <c r="X261" s="12">
        <v>0</v>
      </c>
      <c r="Y261" s="10">
        <v>0</v>
      </c>
    </row>
    <row r="262" spans="1:25" x14ac:dyDescent="0.3">
      <c r="A262" s="9" t="s">
        <v>131</v>
      </c>
      <c r="B262" s="6">
        <v>2022</v>
      </c>
      <c r="C262" s="10">
        <v>261</v>
      </c>
      <c r="D262" s="6" t="s">
        <v>551</v>
      </c>
      <c r="E262" s="6" t="s">
        <v>63</v>
      </c>
      <c r="F262" s="6" t="s">
        <v>546</v>
      </c>
      <c r="G262" s="11" t="s">
        <v>134</v>
      </c>
      <c r="H262" s="6" t="s">
        <v>135</v>
      </c>
      <c r="I262" s="6" t="s">
        <v>135</v>
      </c>
      <c r="J262" s="6" t="s">
        <v>134</v>
      </c>
      <c r="K262" s="12">
        <v>0</v>
      </c>
      <c r="L262" s="12">
        <v>0</v>
      </c>
      <c r="M262" s="10">
        <v>0</v>
      </c>
      <c r="N262" s="12">
        <v>0</v>
      </c>
      <c r="O262" s="12">
        <v>0</v>
      </c>
      <c r="P262" s="10">
        <v>0</v>
      </c>
      <c r="Q262" s="12">
        <v>0</v>
      </c>
      <c r="R262" s="12">
        <v>0</v>
      </c>
      <c r="S262" s="10">
        <v>0</v>
      </c>
      <c r="T262" s="12">
        <v>0</v>
      </c>
      <c r="U262" s="12">
        <v>0</v>
      </c>
      <c r="V262" s="10">
        <v>0</v>
      </c>
      <c r="W262" s="12">
        <v>0</v>
      </c>
      <c r="X262" s="12">
        <v>0</v>
      </c>
      <c r="Y262" s="10">
        <v>0</v>
      </c>
    </row>
    <row r="263" spans="1:25" x14ac:dyDescent="0.3">
      <c r="A263" s="9" t="s">
        <v>131</v>
      </c>
      <c r="B263" s="6">
        <v>2022</v>
      </c>
      <c r="C263" s="10">
        <v>262</v>
      </c>
      <c r="D263" s="6" t="s">
        <v>552</v>
      </c>
      <c r="E263" s="6" t="s">
        <v>63</v>
      </c>
      <c r="F263" s="6" t="s">
        <v>546</v>
      </c>
      <c r="G263" s="11" t="s">
        <v>134</v>
      </c>
      <c r="H263" s="6" t="s">
        <v>135</v>
      </c>
      <c r="I263" s="6" t="s">
        <v>135</v>
      </c>
      <c r="J263" s="6" t="s">
        <v>134</v>
      </c>
      <c r="K263" s="12">
        <v>0</v>
      </c>
      <c r="L263" s="12">
        <v>0</v>
      </c>
      <c r="M263" s="10">
        <v>0</v>
      </c>
      <c r="N263" s="12">
        <v>0</v>
      </c>
      <c r="O263" s="12">
        <v>0</v>
      </c>
      <c r="P263" s="10">
        <v>0</v>
      </c>
      <c r="Q263" s="12">
        <v>0</v>
      </c>
      <c r="R263" s="12">
        <v>0</v>
      </c>
      <c r="S263" s="10">
        <v>0</v>
      </c>
      <c r="T263" s="12">
        <v>0</v>
      </c>
      <c r="U263" s="12">
        <v>0</v>
      </c>
      <c r="V263" s="10">
        <v>0</v>
      </c>
      <c r="W263" s="12">
        <v>0</v>
      </c>
      <c r="X263" s="12">
        <v>0</v>
      </c>
      <c r="Y263" s="10">
        <v>0</v>
      </c>
    </row>
    <row r="264" spans="1:25" x14ac:dyDescent="0.3">
      <c r="A264" s="9" t="s">
        <v>131</v>
      </c>
      <c r="B264" s="6">
        <v>2022</v>
      </c>
      <c r="C264" s="10">
        <v>263</v>
      </c>
      <c r="D264" s="6" t="s">
        <v>553</v>
      </c>
      <c r="E264" s="6" t="s">
        <v>63</v>
      </c>
      <c r="F264" s="6" t="s">
        <v>546</v>
      </c>
      <c r="G264" s="11" t="s">
        <v>134</v>
      </c>
      <c r="H264" s="6" t="s">
        <v>135</v>
      </c>
      <c r="I264" s="6" t="s">
        <v>135</v>
      </c>
      <c r="J264" s="6" t="s">
        <v>134</v>
      </c>
      <c r="K264" s="12">
        <v>0</v>
      </c>
      <c r="L264" s="12">
        <v>0</v>
      </c>
      <c r="M264" s="10">
        <v>0</v>
      </c>
      <c r="N264" s="12">
        <v>0</v>
      </c>
      <c r="O264" s="12">
        <v>0</v>
      </c>
      <c r="P264" s="10">
        <v>0</v>
      </c>
      <c r="Q264" s="12">
        <v>0</v>
      </c>
      <c r="R264" s="12">
        <v>0</v>
      </c>
      <c r="S264" s="10">
        <v>0</v>
      </c>
      <c r="T264" s="12">
        <v>0</v>
      </c>
      <c r="U264" s="12">
        <v>0</v>
      </c>
      <c r="V264" s="10">
        <v>0</v>
      </c>
      <c r="W264" s="12">
        <v>0</v>
      </c>
      <c r="X264" s="12">
        <v>0</v>
      </c>
      <c r="Y264" s="10">
        <v>0</v>
      </c>
    </row>
    <row r="265" spans="1:25" x14ac:dyDescent="0.3">
      <c r="A265" s="9" t="s">
        <v>131</v>
      </c>
      <c r="B265" s="6">
        <v>2022</v>
      </c>
      <c r="C265" s="10">
        <v>264</v>
      </c>
      <c r="D265" s="6" t="s">
        <v>554</v>
      </c>
      <c r="E265" s="6" t="s">
        <v>63</v>
      </c>
      <c r="F265" s="6" t="s">
        <v>546</v>
      </c>
      <c r="G265" s="11" t="s">
        <v>134</v>
      </c>
      <c r="H265" s="6" t="s">
        <v>135</v>
      </c>
      <c r="I265" s="6" t="s">
        <v>135</v>
      </c>
      <c r="J265" s="6" t="s">
        <v>134</v>
      </c>
      <c r="K265" s="12">
        <v>0</v>
      </c>
      <c r="L265" s="12">
        <v>0</v>
      </c>
      <c r="M265" s="10">
        <v>0</v>
      </c>
      <c r="N265" s="12">
        <v>0</v>
      </c>
      <c r="O265" s="12">
        <v>0</v>
      </c>
      <c r="P265" s="10">
        <v>0</v>
      </c>
      <c r="Q265" s="12">
        <v>0</v>
      </c>
      <c r="R265" s="12">
        <v>0</v>
      </c>
      <c r="S265" s="10">
        <v>0</v>
      </c>
      <c r="T265" s="12">
        <v>0</v>
      </c>
      <c r="U265" s="12">
        <v>0</v>
      </c>
      <c r="V265" s="10">
        <v>0</v>
      </c>
      <c r="W265" s="12">
        <v>0</v>
      </c>
      <c r="X265" s="12">
        <v>0</v>
      </c>
      <c r="Y265" s="10">
        <v>0</v>
      </c>
    </row>
    <row r="266" spans="1:25" x14ac:dyDescent="0.3">
      <c r="A266" s="9" t="s">
        <v>131</v>
      </c>
      <c r="B266" s="6">
        <v>2022</v>
      </c>
      <c r="C266" s="10">
        <v>265</v>
      </c>
      <c r="D266" s="6" t="s">
        <v>555</v>
      </c>
      <c r="E266" s="6" t="s">
        <v>63</v>
      </c>
      <c r="F266" s="6" t="s">
        <v>546</v>
      </c>
      <c r="G266" s="11" t="s">
        <v>134</v>
      </c>
      <c r="H266" s="6" t="s">
        <v>135</v>
      </c>
      <c r="I266" s="6" t="s">
        <v>135</v>
      </c>
      <c r="J266" s="6" t="s">
        <v>134</v>
      </c>
      <c r="K266" s="12">
        <v>0</v>
      </c>
      <c r="L266" s="12">
        <v>0</v>
      </c>
      <c r="M266" s="10">
        <v>0</v>
      </c>
      <c r="N266" s="12">
        <v>0</v>
      </c>
      <c r="O266" s="12">
        <v>0</v>
      </c>
      <c r="P266" s="10">
        <v>0</v>
      </c>
      <c r="Q266" s="12">
        <v>0</v>
      </c>
      <c r="R266" s="12">
        <v>0</v>
      </c>
      <c r="S266" s="10">
        <v>0</v>
      </c>
      <c r="T266" s="12">
        <v>0</v>
      </c>
      <c r="U266" s="12">
        <v>0</v>
      </c>
      <c r="V266" s="10">
        <v>0</v>
      </c>
      <c r="W266" s="12">
        <v>0</v>
      </c>
      <c r="X266" s="12">
        <v>0</v>
      </c>
      <c r="Y266" s="10">
        <v>0</v>
      </c>
    </row>
    <row r="267" spans="1:25" x14ac:dyDescent="0.3">
      <c r="A267" s="9" t="s">
        <v>131</v>
      </c>
      <c r="B267" s="6">
        <v>2022</v>
      </c>
      <c r="C267" s="10">
        <v>266</v>
      </c>
      <c r="D267" s="6" t="s">
        <v>556</v>
      </c>
      <c r="E267" s="6" t="s">
        <v>63</v>
      </c>
      <c r="F267" s="6" t="s">
        <v>546</v>
      </c>
      <c r="G267" s="11" t="s">
        <v>134</v>
      </c>
      <c r="H267" s="6" t="s">
        <v>135</v>
      </c>
      <c r="I267" s="6" t="s">
        <v>135</v>
      </c>
      <c r="J267" s="6" t="s">
        <v>134</v>
      </c>
      <c r="K267" s="12">
        <v>0</v>
      </c>
      <c r="L267" s="12">
        <v>0</v>
      </c>
      <c r="M267" s="10">
        <v>0</v>
      </c>
      <c r="N267" s="12">
        <v>0</v>
      </c>
      <c r="O267" s="12">
        <v>0</v>
      </c>
      <c r="P267" s="10">
        <v>0</v>
      </c>
      <c r="Q267" s="12">
        <v>0</v>
      </c>
      <c r="R267" s="12">
        <v>0</v>
      </c>
      <c r="S267" s="10">
        <v>0</v>
      </c>
      <c r="T267" s="12">
        <v>0</v>
      </c>
      <c r="U267" s="12">
        <v>0</v>
      </c>
      <c r="V267" s="10">
        <v>0</v>
      </c>
      <c r="W267" s="12">
        <v>0</v>
      </c>
      <c r="X267" s="12">
        <v>0</v>
      </c>
      <c r="Y267" s="10">
        <v>0</v>
      </c>
    </row>
    <row r="268" spans="1:25" x14ac:dyDescent="0.3">
      <c r="A268" s="9" t="s">
        <v>131</v>
      </c>
      <c r="B268" s="6">
        <v>2022</v>
      </c>
      <c r="C268" s="10">
        <v>267</v>
      </c>
      <c r="D268" s="6" t="s">
        <v>557</v>
      </c>
      <c r="E268" s="6" t="s">
        <v>63</v>
      </c>
      <c r="F268" s="6" t="s">
        <v>546</v>
      </c>
      <c r="G268" s="11" t="s">
        <v>134</v>
      </c>
      <c r="H268" s="6" t="s">
        <v>135</v>
      </c>
      <c r="I268" s="6" t="s">
        <v>135</v>
      </c>
      <c r="J268" s="6" t="s">
        <v>134</v>
      </c>
      <c r="K268" s="12">
        <v>0</v>
      </c>
      <c r="L268" s="12">
        <v>0</v>
      </c>
      <c r="M268" s="10">
        <v>0</v>
      </c>
      <c r="N268" s="12">
        <v>0</v>
      </c>
      <c r="O268" s="12">
        <v>0</v>
      </c>
      <c r="P268" s="10">
        <v>0</v>
      </c>
      <c r="Q268" s="12">
        <v>0</v>
      </c>
      <c r="R268" s="12">
        <v>0</v>
      </c>
      <c r="S268" s="10">
        <v>0</v>
      </c>
      <c r="T268" s="12">
        <v>0</v>
      </c>
      <c r="U268" s="12">
        <v>0</v>
      </c>
      <c r="V268" s="10">
        <v>0</v>
      </c>
      <c r="W268" s="12">
        <v>0</v>
      </c>
      <c r="X268" s="12">
        <v>0</v>
      </c>
      <c r="Y268" s="10">
        <v>0</v>
      </c>
    </row>
    <row r="269" spans="1:25" x14ac:dyDescent="0.3">
      <c r="A269" s="9" t="s">
        <v>131</v>
      </c>
      <c r="B269" s="6">
        <v>2022</v>
      </c>
      <c r="C269" s="10">
        <v>268</v>
      </c>
      <c r="D269" s="6" t="s">
        <v>558</v>
      </c>
      <c r="E269" s="6" t="s">
        <v>63</v>
      </c>
      <c r="F269" s="6" t="s">
        <v>559</v>
      </c>
      <c r="G269" s="11" t="s">
        <v>134</v>
      </c>
      <c r="H269" s="6" t="s">
        <v>135</v>
      </c>
      <c r="I269" s="6" t="s">
        <v>135</v>
      </c>
      <c r="J269" s="6" t="s">
        <v>134</v>
      </c>
      <c r="K269" s="12">
        <v>0</v>
      </c>
      <c r="L269" s="12">
        <v>0</v>
      </c>
      <c r="M269" s="10">
        <v>0</v>
      </c>
      <c r="N269" s="12">
        <v>0</v>
      </c>
      <c r="O269" s="12">
        <v>0</v>
      </c>
      <c r="P269" s="10">
        <v>0</v>
      </c>
      <c r="Q269" s="12">
        <v>0</v>
      </c>
      <c r="R269" s="12">
        <v>0</v>
      </c>
      <c r="S269" s="10">
        <v>0</v>
      </c>
      <c r="T269" s="12">
        <v>0</v>
      </c>
      <c r="U269" s="12">
        <v>0</v>
      </c>
      <c r="V269" s="10">
        <v>0</v>
      </c>
      <c r="W269" s="12">
        <v>0</v>
      </c>
      <c r="X269" s="12">
        <v>0</v>
      </c>
      <c r="Y269" s="10">
        <v>0</v>
      </c>
    </row>
    <row r="270" spans="1:25" x14ac:dyDescent="0.3">
      <c r="A270" s="9" t="s">
        <v>131</v>
      </c>
      <c r="B270" s="6">
        <v>2022</v>
      </c>
      <c r="C270" s="10">
        <v>269</v>
      </c>
      <c r="D270" s="6" t="s">
        <v>560</v>
      </c>
      <c r="E270" s="6" t="s">
        <v>63</v>
      </c>
      <c r="F270" s="6" t="s">
        <v>561</v>
      </c>
      <c r="G270" s="11" t="s">
        <v>134</v>
      </c>
      <c r="H270" s="6" t="s">
        <v>135</v>
      </c>
      <c r="I270" s="6" t="s">
        <v>135</v>
      </c>
      <c r="J270" s="6" t="s">
        <v>134</v>
      </c>
      <c r="K270" s="12">
        <v>0</v>
      </c>
      <c r="L270" s="12">
        <v>0</v>
      </c>
      <c r="M270" s="10">
        <v>0</v>
      </c>
      <c r="N270" s="12">
        <v>0</v>
      </c>
      <c r="O270" s="12">
        <v>0</v>
      </c>
      <c r="P270" s="10">
        <v>0</v>
      </c>
      <c r="Q270" s="12">
        <v>0</v>
      </c>
      <c r="R270" s="12">
        <v>0</v>
      </c>
      <c r="S270" s="10">
        <v>0</v>
      </c>
      <c r="T270" s="12">
        <v>0</v>
      </c>
      <c r="U270" s="12">
        <v>0</v>
      </c>
      <c r="V270" s="10">
        <v>0</v>
      </c>
      <c r="W270" s="12">
        <v>0</v>
      </c>
      <c r="X270" s="12">
        <v>0</v>
      </c>
      <c r="Y270" s="10">
        <v>0</v>
      </c>
    </row>
    <row r="271" spans="1:25" x14ac:dyDescent="0.3">
      <c r="A271" s="9" t="s">
        <v>131</v>
      </c>
      <c r="B271" s="6">
        <v>2022</v>
      </c>
      <c r="C271" s="10">
        <v>270</v>
      </c>
      <c r="D271" s="6" t="s">
        <v>562</v>
      </c>
      <c r="E271" s="6" t="s">
        <v>63</v>
      </c>
      <c r="F271" s="6" t="s">
        <v>561</v>
      </c>
      <c r="G271" s="11" t="s">
        <v>134</v>
      </c>
      <c r="H271" s="6" t="s">
        <v>135</v>
      </c>
      <c r="I271" s="6" t="s">
        <v>135</v>
      </c>
      <c r="J271" s="6" t="s">
        <v>134</v>
      </c>
      <c r="K271" s="12">
        <v>0</v>
      </c>
      <c r="L271" s="12">
        <v>0</v>
      </c>
      <c r="M271" s="10">
        <v>0</v>
      </c>
      <c r="N271" s="12">
        <v>0</v>
      </c>
      <c r="O271" s="12">
        <v>0</v>
      </c>
      <c r="P271" s="10">
        <v>0</v>
      </c>
      <c r="Q271" s="12">
        <v>0</v>
      </c>
      <c r="R271" s="12">
        <v>0</v>
      </c>
      <c r="S271" s="10">
        <v>0</v>
      </c>
      <c r="T271" s="12">
        <v>0</v>
      </c>
      <c r="U271" s="12">
        <v>0</v>
      </c>
      <c r="V271" s="10">
        <v>0</v>
      </c>
      <c r="W271" s="12">
        <v>0</v>
      </c>
      <c r="X271" s="12">
        <v>0</v>
      </c>
      <c r="Y271" s="10">
        <v>0</v>
      </c>
    </row>
    <row r="272" spans="1:25" x14ac:dyDescent="0.3">
      <c r="A272" s="9" t="s">
        <v>131</v>
      </c>
      <c r="B272" s="6">
        <v>2022</v>
      </c>
      <c r="C272" s="10">
        <v>271</v>
      </c>
      <c r="D272" s="6" t="s">
        <v>563</v>
      </c>
      <c r="E272" s="6" t="s">
        <v>63</v>
      </c>
      <c r="F272" s="6" t="s">
        <v>134</v>
      </c>
      <c r="G272" s="13" t="s">
        <v>564</v>
      </c>
      <c r="H272" s="6" t="s">
        <v>135</v>
      </c>
      <c r="I272" s="6" t="s">
        <v>135</v>
      </c>
      <c r="J272" s="6" t="s">
        <v>134</v>
      </c>
      <c r="K272" s="12">
        <v>0</v>
      </c>
      <c r="L272" s="12">
        <v>0</v>
      </c>
      <c r="M272" s="10">
        <v>0</v>
      </c>
      <c r="N272" s="12">
        <v>0</v>
      </c>
      <c r="O272" s="12">
        <v>0</v>
      </c>
      <c r="P272" s="10">
        <v>0</v>
      </c>
      <c r="Q272" s="12">
        <v>0</v>
      </c>
      <c r="R272" s="12">
        <v>0</v>
      </c>
      <c r="S272" s="10">
        <v>0</v>
      </c>
      <c r="T272" s="12">
        <v>0</v>
      </c>
      <c r="U272" s="12">
        <v>0</v>
      </c>
      <c r="V272" s="10">
        <v>0</v>
      </c>
      <c r="W272" s="12">
        <v>0</v>
      </c>
      <c r="X272" s="12">
        <v>0</v>
      </c>
      <c r="Y272" s="10">
        <v>0</v>
      </c>
    </row>
    <row r="273" spans="1:25" x14ac:dyDescent="0.3">
      <c r="A273" s="9" t="s">
        <v>131</v>
      </c>
      <c r="B273" s="6">
        <v>2022</v>
      </c>
      <c r="C273" s="10">
        <v>272</v>
      </c>
      <c r="D273" s="6" t="s">
        <v>565</v>
      </c>
      <c r="E273" s="6" t="s">
        <v>63</v>
      </c>
      <c r="F273" s="6" t="s">
        <v>566</v>
      </c>
      <c r="G273" s="11" t="s">
        <v>134</v>
      </c>
      <c r="H273" s="6" t="s">
        <v>135</v>
      </c>
      <c r="I273" s="6" t="s">
        <v>135</v>
      </c>
      <c r="J273" s="6" t="s">
        <v>238</v>
      </c>
      <c r="K273" s="12">
        <v>0</v>
      </c>
      <c r="L273" s="12">
        <v>0</v>
      </c>
      <c r="M273" s="10">
        <v>0</v>
      </c>
      <c r="N273" s="12">
        <v>0</v>
      </c>
      <c r="O273" s="12">
        <v>0</v>
      </c>
      <c r="P273" s="10">
        <v>0</v>
      </c>
      <c r="Q273" s="12">
        <v>0</v>
      </c>
      <c r="R273" s="12">
        <v>0</v>
      </c>
      <c r="S273" s="10">
        <v>0</v>
      </c>
      <c r="T273" s="12">
        <v>0</v>
      </c>
      <c r="U273" s="12">
        <v>0</v>
      </c>
      <c r="V273" s="10">
        <v>0</v>
      </c>
      <c r="W273" s="12">
        <v>0</v>
      </c>
      <c r="X273" s="12">
        <v>0</v>
      </c>
      <c r="Y273" s="10">
        <v>0</v>
      </c>
    </row>
    <row r="274" spans="1:25" x14ac:dyDescent="0.3">
      <c r="A274" s="9" t="s">
        <v>131</v>
      </c>
      <c r="B274" s="6">
        <v>2022</v>
      </c>
      <c r="C274" s="10">
        <v>273</v>
      </c>
      <c r="D274" s="6" t="s">
        <v>567</v>
      </c>
      <c r="E274" s="6" t="s">
        <v>63</v>
      </c>
      <c r="F274" s="6" t="s">
        <v>568</v>
      </c>
      <c r="G274" s="11" t="s">
        <v>134</v>
      </c>
      <c r="H274" s="6" t="s">
        <v>135</v>
      </c>
      <c r="I274" s="6" t="s">
        <v>135</v>
      </c>
      <c r="J274" s="6" t="s">
        <v>238</v>
      </c>
      <c r="K274" s="12">
        <v>0</v>
      </c>
      <c r="L274" s="12">
        <v>0</v>
      </c>
      <c r="M274" s="10">
        <v>0</v>
      </c>
      <c r="N274" s="12">
        <v>0</v>
      </c>
      <c r="O274" s="12">
        <v>0</v>
      </c>
      <c r="P274" s="10">
        <v>0</v>
      </c>
      <c r="Q274" s="12">
        <v>0</v>
      </c>
      <c r="R274" s="12">
        <v>0</v>
      </c>
      <c r="S274" s="10">
        <v>0</v>
      </c>
      <c r="T274" s="12">
        <v>0</v>
      </c>
      <c r="U274" s="12">
        <v>0</v>
      </c>
      <c r="V274" s="10">
        <v>0</v>
      </c>
      <c r="W274" s="12">
        <v>0</v>
      </c>
      <c r="X274" s="12">
        <v>0</v>
      </c>
      <c r="Y274" s="10">
        <v>0</v>
      </c>
    </row>
    <row r="275" spans="1:25" x14ac:dyDescent="0.3">
      <c r="A275" s="9" t="s">
        <v>131</v>
      </c>
      <c r="B275" s="6">
        <v>2022</v>
      </c>
      <c r="C275" s="10">
        <v>274</v>
      </c>
      <c r="D275" s="6" t="s">
        <v>569</v>
      </c>
      <c r="E275" s="6" t="s">
        <v>63</v>
      </c>
      <c r="F275" s="6" t="s">
        <v>570</v>
      </c>
      <c r="G275" s="11" t="s">
        <v>134</v>
      </c>
      <c r="H275" s="6" t="s">
        <v>135</v>
      </c>
      <c r="I275" s="6" t="s">
        <v>135</v>
      </c>
      <c r="J275" s="6" t="s">
        <v>238</v>
      </c>
      <c r="K275" s="12">
        <v>0</v>
      </c>
      <c r="L275" s="12">
        <v>0</v>
      </c>
      <c r="M275" s="10">
        <v>0</v>
      </c>
      <c r="N275" s="12">
        <v>0</v>
      </c>
      <c r="O275" s="12">
        <v>0</v>
      </c>
      <c r="P275" s="10">
        <v>0</v>
      </c>
      <c r="Q275" s="12">
        <v>0</v>
      </c>
      <c r="R275" s="12">
        <v>0</v>
      </c>
      <c r="S275" s="10">
        <v>0</v>
      </c>
      <c r="T275" s="12">
        <v>0</v>
      </c>
      <c r="U275" s="12">
        <v>0</v>
      </c>
      <c r="V275" s="10">
        <v>0</v>
      </c>
      <c r="W275" s="12">
        <v>0</v>
      </c>
      <c r="X275" s="12">
        <v>0</v>
      </c>
      <c r="Y275" s="10">
        <v>0</v>
      </c>
    </row>
    <row r="276" spans="1:25" x14ac:dyDescent="0.3">
      <c r="A276" s="9" t="s">
        <v>131</v>
      </c>
      <c r="B276" s="6">
        <v>2022</v>
      </c>
      <c r="C276" s="10">
        <v>275</v>
      </c>
      <c r="D276" s="6" t="s">
        <v>571</v>
      </c>
      <c r="E276" s="6" t="s">
        <v>63</v>
      </c>
      <c r="F276" s="6" t="s">
        <v>134</v>
      </c>
      <c r="G276" s="13" t="s">
        <v>572</v>
      </c>
      <c r="H276" s="6" t="s">
        <v>135</v>
      </c>
      <c r="I276" s="6" t="s">
        <v>135</v>
      </c>
      <c r="J276" s="6" t="s">
        <v>134</v>
      </c>
      <c r="K276" s="12">
        <v>0</v>
      </c>
      <c r="L276" s="12">
        <v>0</v>
      </c>
      <c r="M276" s="10">
        <v>0</v>
      </c>
      <c r="N276" s="12">
        <v>0</v>
      </c>
      <c r="O276" s="12">
        <v>0</v>
      </c>
      <c r="P276" s="10">
        <v>0</v>
      </c>
      <c r="Q276" s="12">
        <v>0</v>
      </c>
      <c r="R276" s="12">
        <v>0</v>
      </c>
      <c r="S276" s="10">
        <v>0</v>
      </c>
      <c r="T276" s="12">
        <v>0</v>
      </c>
      <c r="U276" s="12">
        <v>0</v>
      </c>
      <c r="V276" s="10">
        <v>0</v>
      </c>
      <c r="W276" s="12">
        <v>0</v>
      </c>
      <c r="X276" s="12">
        <v>0</v>
      </c>
      <c r="Y276" s="10">
        <v>0</v>
      </c>
    </row>
    <row r="277" spans="1:25" x14ac:dyDescent="0.3">
      <c r="A277" s="9" t="s">
        <v>131</v>
      </c>
      <c r="B277" s="6">
        <v>2022</v>
      </c>
      <c r="C277" s="10">
        <v>276</v>
      </c>
      <c r="D277" s="6" t="s">
        <v>573</v>
      </c>
      <c r="E277" s="6" t="s">
        <v>63</v>
      </c>
      <c r="F277" s="6" t="s">
        <v>574</v>
      </c>
      <c r="G277" s="11" t="s">
        <v>134</v>
      </c>
      <c r="H277" s="6" t="s">
        <v>135</v>
      </c>
      <c r="I277" s="6" t="s">
        <v>135</v>
      </c>
      <c r="J277" s="6" t="s">
        <v>238</v>
      </c>
      <c r="K277" s="12">
        <v>0</v>
      </c>
      <c r="L277" s="12">
        <v>0</v>
      </c>
      <c r="M277" s="10">
        <v>0</v>
      </c>
      <c r="N277" s="12">
        <v>0</v>
      </c>
      <c r="O277" s="12">
        <v>0</v>
      </c>
      <c r="P277" s="10">
        <v>0</v>
      </c>
      <c r="Q277" s="12">
        <v>0</v>
      </c>
      <c r="R277" s="12">
        <v>0</v>
      </c>
      <c r="S277" s="10">
        <v>0</v>
      </c>
      <c r="T277" s="12">
        <v>0</v>
      </c>
      <c r="U277" s="12">
        <v>0</v>
      </c>
      <c r="V277" s="10">
        <v>0</v>
      </c>
      <c r="W277" s="12">
        <v>0</v>
      </c>
      <c r="X277" s="12">
        <v>0</v>
      </c>
      <c r="Y277" s="10">
        <v>0</v>
      </c>
    </row>
    <row r="278" spans="1:25" x14ac:dyDescent="0.3">
      <c r="A278" s="9" t="s">
        <v>131</v>
      </c>
      <c r="B278" s="6">
        <v>2022</v>
      </c>
      <c r="C278" s="10">
        <v>277</v>
      </c>
      <c r="D278" s="6" t="s">
        <v>575</v>
      </c>
      <c r="E278" s="6" t="s">
        <v>63</v>
      </c>
      <c r="F278" s="6" t="s">
        <v>134</v>
      </c>
      <c r="G278" s="13" t="s">
        <v>2271</v>
      </c>
      <c r="H278" s="6" t="s">
        <v>135</v>
      </c>
      <c r="I278" s="6" t="s">
        <v>135</v>
      </c>
      <c r="J278" s="6" t="s">
        <v>134</v>
      </c>
      <c r="K278" s="12">
        <v>0</v>
      </c>
      <c r="L278" s="12">
        <v>0</v>
      </c>
      <c r="M278" s="10">
        <v>0</v>
      </c>
      <c r="N278" s="12">
        <v>0</v>
      </c>
      <c r="O278" s="12">
        <v>0</v>
      </c>
      <c r="P278" s="10">
        <v>0</v>
      </c>
      <c r="Q278" s="12">
        <v>0</v>
      </c>
      <c r="R278" s="12">
        <v>0</v>
      </c>
      <c r="S278" s="10">
        <v>0</v>
      </c>
      <c r="T278" s="12">
        <v>0</v>
      </c>
      <c r="U278" s="12">
        <v>0</v>
      </c>
      <c r="V278" s="10">
        <v>0</v>
      </c>
      <c r="W278" s="12">
        <v>0</v>
      </c>
      <c r="X278" s="12">
        <v>0</v>
      </c>
      <c r="Y278" s="10">
        <v>0</v>
      </c>
    </row>
    <row r="279" spans="1:25" x14ac:dyDescent="0.3">
      <c r="A279" s="9" t="s">
        <v>131</v>
      </c>
      <c r="B279" s="6">
        <v>2022</v>
      </c>
      <c r="C279" s="10">
        <v>278</v>
      </c>
      <c r="D279" s="6" t="s">
        <v>576</v>
      </c>
      <c r="E279" s="6" t="s">
        <v>63</v>
      </c>
      <c r="F279" s="6" t="s">
        <v>577</v>
      </c>
      <c r="G279" s="11" t="s">
        <v>134</v>
      </c>
      <c r="H279" s="6" t="s">
        <v>135</v>
      </c>
      <c r="I279" s="6" t="s">
        <v>135</v>
      </c>
      <c r="J279" s="6" t="s">
        <v>134</v>
      </c>
      <c r="K279" s="12">
        <v>0</v>
      </c>
      <c r="L279" s="12">
        <v>0</v>
      </c>
      <c r="M279" s="10">
        <v>0</v>
      </c>
      <c r="N279" s="12">
        <v>0</v>
      </c>
      <c r="O279" s="12">
        <v>0</v>
      </c>
      <c r="P279" s="10">
        <v>0</v>
      </c>
      <c r="Q279" s="12">
        <v>0</v>
      </c>
      <c r="R279" s="12">
        <v>0</v>
      </c>
      <c r="S279" s="10">
        <v>0</v>
      </c>
      <c r="T279" s="12">
        <v>0</v>
      </c>
      <c r="U279" s="12">
        <v>0</v>
      </c>
      <c r="V279" s="10">
        <v>0</v>
      </c>
      <c r="W279" s="12">
        <v>0</v>
      </c>
      <c r="X279" s="12">
        <v>0</v>
      </c>
      <c r="Y279" s="10">
        <v>0</v>
      </c>
    </row>
    <row r="280" spans="1:25" x14ac:dyDescent="0.3">
      <c r="A280" s="9" t="s">
        <v>131</v>
      </c>
      <c r="B280" s="6">
        <v>2022</v>
      </c>
      <c r="C280" s="10">
        <v>279</v>
      </c>
      <c r="D280" s="6" t="s">
        <v>578</v>
      </c>
      <c r="E280" s="6" t="s">
        <v>63</v>
      </c>
      <c r="F280" s="6" t="s">
        <v>134</v>
      </c>
      <c r="G280" s="13" t="s">
        <v>2276</v>
      </c>
      <c r="H280" s="6" t="s">
        <v>135</v>
      </c>
      <c r="I280" s="6" t="s">
        <v>135</v>
      </c>
      <c r="J280" s="6" t="s">
        <v>134</v>
      </c>
      <c r="K280" s="12">
        <v>0</v>
      </c>
      <c r="L280" s="12">
        <v>0</v>
      </c>
      <c r="M280" s="10">
        <v>0</v>
      </c>
      <c r="N280" s="12">
        <v>0</v>
      </c>
      <c r="O280" s="12">
        <v>0</v>
      </c>
      <c r="P280" s="10">
        <v>0</v>
      </c>
      <c r="Q280" s="12">
        <v>0</v>
      </c>
      <c r="R280" s="12">
        <v>0</v>
      </c>
      <c r="S280" s="10">
        <v>0</v>
      </c>
      <c r="T280" s="12">
        <v>0</v>
      </c>
      <c r="U280" s="12">
        <v>0</v>
      </c>
      <c r="V280" s="10">
        <v>0</v>
      </c>
      <c r="W280" s="12">
        <v>0</v>
      </c>
      <c r="X280" s="12">
        <v>0</v>
      </c>
      <c r="Y280" s="10">
        <v>0</v>
      </c>
    </row>
    <row r="281" spans="1:25" x14ac:dyDescent="0.3">
      <c r="A281" s="9" t="s">
        <v>131</v>
      </c>
      <c r="B281" s="6">
        <v>2022</v>
      </c>
      <c r="C281" s="10">
        <v>280</v>
      </c>
      <c r="D281" s="6" t="s">
        <v>579</v>
      </c>
      <c r="E281" s="6" t="s">
        <v>63</v>
      </c>
      <c r="F281" s="6" t="s">
        <v>580</v>
      </c>
      <c r="G281" s="11" t="s">
        <v>134</v>
      </c>
      <c r="H281" s="6" t="s">
        <v>135</v>
      </c>
      <c r="I281" s="6" t="s">
        <v>135</v>
      </c>
      <c r="J281" s="6" t="s">
        <v>134</v>
      </c>
      <c r="K281" s="12">
        <v>0</v>
      </c>
      <c r="L281" s="12">
        <v>0</v>
      </c>
      <c r="M281" s="10">
        <v>0</v>
      </c>
      <c r="N281" s="12">
        <v>0</v>
      </c>
      <c r="O281" s="12">
        <v>0</v>
      </c>
      <c r="P281" s="10">
        <v>0</v>
      </c>
      <c r="Q281" s="12">
        <v>0</v>
      </c>
      <c r="R281" s="12">
        <v>0</v>
      </c>
      <c r="S281" s="10">
        <v>0</v>
      </c>
      <c r="T281" s="12">
        <v>0</v>
      </c>
      <c r="U281" s="12">
        <v>0</v>
      </c>
      <c r="V281" s="10">
        <v>0</v>
      </c>
      <c r="W281" s="12">
        <v>0</v>
      </c>
      <c r="X281" s="12">
        <v>0</v>
      </c>
      <c r="Y281" s="10">
        <v>0</v>
      </c>
    </row>
    <row r="282" spans="1:25" x14ac:dyDescent="0.3">
      <c r="A282" s="9" t="s">
        <v>131</v>
      </c>
      <c r="B282" s="6">
        <v>2022</v>
      </c>
      <c r="C282" s="10">
        <v>281</v>
      </c>
      <c r="D282" s="6" t="s">
        <v>581</v>
      </c>
      <c r="E282" s="6" t="s">
        <v>63</v>
      </c>
      <c r="F282" s="6" t="s">
        <v>582</v>
      </c>
      <c r="G282" s="11" t="s">
        <v>134</v>
      </c>
      <c r="H282" s="6" t="s">
        <v>135</v>
      </c>
      <c r="I282" s="6" t="s">
        <v>135</v>
      </c>
      <c r="J282" s="6" t="s">
        <v>134</v>
      </c>
      <c r="K282" s="12">
        <v>0</v>
      </c>
      <c r="L282" s="12">
        <v>0</v>
      </c>
      <c r="M282" s="10">
        <v>0</v>
      </c>
      <c r="N282" s="12">
        <v>0</v>
      </c>
      <c r="O282" s="12">
        <v>0</v>
      </c>
      <c r="P282" s="10">
        <v>0</v>
      </c>
      <c r="Q282" s="12">
        <v>0</v>
      </c>
      <c r="R282" s="12">
        <v>0</v>
      </c>
      <c r="S282" s="10">
        <v>0</v>
      </c>
      <c r="T282" s="12">
        <v>0</v>
      </c>
      <c r="U282" s="12">
        <v>0</v>
      </c>
      <c r="V282" s="10">
        <v>0</v>
      </c>
      <c r="W282" s="12">
        <v>0</v>
      </c>
      <c r="X282" s="12">
        <v>0</v>
      </c>
      <c r="Y282" s="10">
        <v>0</v>
      </c>
    </row>
    <row r="283" spans="1:25" x14ac:dyDescent="0.3">
      <c r="A283" s="9" t="s">
        <v>131</v>
      </c>
      <c r="B283" s="6">
        <v>2022</v>
      </c>
      <c r="C283" s="10">
        <v>282</v>
      </c>
      <c r="D283" s="6" t="s">
        <v>583</v>
      </c>
      <c r="E283" s="6" t="s">
        <v>63</v>
      </c>
      <c r="F283" s="6" t="s">
        <v>584</v>
      </c>
      <c r="G283" s="11" t="s">
        <v>134</v>
      </c>
      <c r="H283" s="6" t="s">
        <v>135</v>
      </c>
      <c r="I283" s="6" t="s">
        <v>135</v>
      </c>
      <c r="J283" s="6" t="s">
        <v>134</v>
      </c>
      <c r="K283" s="12">
        <v>0</v>
      </c>
      <c r="L283" s="12">
        <v>0</v>
      </c>
      <c r="M283" s="10">
        <v>0</v>
      </c>
      <c r="N283" s="12">
        <v>0</v>
      </c>
      <c r="O283" s="12">
        <v>0</v>
      </c>
      <c r="P283" s="10">
        <v>0</v>
      </c>
      <c r="Q283" s="12">
        <v>0</v>
      </c>
      <c r="R283" s="12">
        <v>0</v>
      </c>
      <c r="S283" s="10">
        <v>0</v>
      </c>
      <c r="T283" s="12">
        <v>0</v>
      </c>
      <c r="U283" s="12">
        <v>0</v>
      </c>
      <c r="V283" s="10">
        <v>0</v>
      </c>
      <c r="W283" s="12">
        <v>0</v>
      </c>
      <c r="X283" s="12">
        <v>0</v>
      </c>
      <c r="Y283" s="10">
        <v>0</v>
      </c>
    </row>
    <row r="284" spans="1:25" x14ac:dyDescent="0.3">
      <c r="A284" s="9" t="s">
        <v>131</v>
      </c>
      <c r="B284" s="6">
        <v>2022</v>
      </c>
      <c r="C284" s="10">
        <v>283</v>
      </c>
      <c r="D284" s="6" t="s">
        <v>585</v>
      </c>
      <c r="E284" s="6" t="s">
        <v>63</v>
      </c>
      <c r="F284" s="6" t="s">
        <v>134</v>
      </c>
      <c r="G284" s="13" t="s">
        <v>586</v>
      </c>
      <c r="H284" s="6" t="s">
        <v>135</v>
      </c>
      <c r="I284" s="6" t="s">
        <v>135</v>
      </c>
      <c r="J284" s="6" t="s">
        <v>134</v>
      </c>
      <c r="K284" s="12">
        <v>0</v>
      </c>
      <c r="L284" s="12">
        <v>0</v>
      </c>
      <c r="M284" s="10">
        <v>0</v>
      </c>
      <c r="N284" s="12">
        <v>0</v>
      </c>
      <c r="O284" s="12">
        <v>0</v>
      </c>
      <c r="P284" s="10">
        <v>0</v>
      </c>
      <c r="Q284" s="12">
        <v>0</v>
      </c>
      <c r="R284" s="12">
        <v>0</v>
      </c>
      <c r="S284" s="10">
        <v>0</v>
      </c>
      <c r="T284" s="12">
        <v>0</v>
      </c>
      <c r="U284" s="12">
        <v>0</v>
      </c>
      <c r="V284" s="10">
        <v>0</v>
      </c>
      <c r="W284" s="12">
        <v>0</v>
      </c>
      <c r="X284" s="12">
        <v>0</v>
      </c>
      <c r="Y284" s="10">
        <v>0</v>
      </c>
    </row>
    <row r="285" spans="1:25" x14ac:dyDescent="0.3">
      <c r="A285" s="9" t="s">
        <v>131</v>
      </c>
      <c r="B285" s="6">
        <v>2022</v>
      </c>
      <c r="C285" s="10">
        <v>284</v>
      </c>
      <c r="D285" s="6" t="s">
        <v>587</v>
      </c>
      <c r="E285" s="6" t="s">
        <v>63</v>
      </c>
      <c r="F285" s="6" t="s">
        <v>588</v>
      </c>
      <c r="G285" s="11" t="s">
        <v>134</v>
      </c>
      <c r="H285" s="6" t="s">
        <v>135</v>
      </c>
      <c r="I285" s="6" t="s">
        <v>135</v>
      </c>
      <c r="J285" s="6" t="s">
        <v>134</v>
      </c>
      <c r="K285" s="12">
        <v>0</v>
      </c>
      <c r="L285" s="12">
        <v>0</v>
      </c>
      <c r="M285" s="10">
        <v>0</v>
      </c>
      <c r="N285" s="12">
        <v>0</v>
      </c>
      <c r="O285" s="12">
        <v>0</v>
      </c>
      <c r="P285" s="10">
        <v>0</v>
      </c>
      <c r="Q285" s="12">
        <v>0</v>
      </c>
      <c r="R285" s="12">
        <v>0</v>
      </c>
      <c r="S285" s="10">
        <v>0</v>
      </c>
      <c r="T285" s="12">
        <v>0</v>
      </c>
      <c r="U285" s="12">
        <v>0</v>
      </c>
      <c r="V285" s="10">
        <v>0</v>
      </c>
      <c r="W285" s="12">
        <v>0</v>
      </c>
      <c r="X285" s="12">
        <v>0</v>
      </c>
      <c r="Y285" s="10">
        <v>0</v>
      </c>
    </row>
    <row r="286" spans="1:25" x14ac:dyDescent="0.3">
      <c r="A286" s="9" t="s">
        <v>131</v>
      </c>
      <c r="B286" s="6">
        <v>2022</v>
      </c>
      <c r="C286" s="10">
        <v>285</v>
      </c>
      <c r="D286" s="6" t="s">
        <v>589</v>
      </c>
      <c r="E286" s="6" t="s">
        <v>63</v>
      </c>
      <c r="F286" s="6" t="s">
        <v>590</v>
      </c>
      <c r="G286" s="11" t="s">
        <v>134</v>
      </c>
      <c r="H286" s="6" t="s">
        <v>135</v>
      </c>
      <c r="I286" s="6" t="s">
        <v>135</v>
      </c>
      <c r="J286" s="6" t="s">
        <v>134</v>
      </c>
      <c r="K286" s="12">
        <v>0</v>
      </c>
      <c r="L286" s="12">
        <v>0</v>
      </c>
      <c r="M286" s="10">
        <v>0</v>
      </c>
      <c r="N286" s="12">
        <v>0</v>
      </c>
      <c r="O286" s="12">
        <v>0</v>
      </c>
      <c r="P286" s="10">
        <v>0</v>
      </c>
      <c r="Q286" s="12">
        <v>0</v>
      </c>
      <c r="R286" s="12">
        <v>0</v>
      </c>
      <c r="S286" s="10">
        <v>0</v>
      </c>
      <c r="T286" s="12">
        <v>0</v>
      </c>
      <c r="U286" s="12">
        <v>0</v>
      </c>
      <c r="V286" s="10">
        <v>0</v>
      </c>
      <c r="W286" s="12">
        <v>0</v>
      </c>
      <c r="X286" s="12">
        <v>0</v>
      </c>
      <c r="Y286" s="10">
        <v>0</v>
      </c>
    </row>
    <row r="287" spans="1:25" x14ac:dyDescent="0.3">
      <c r="A287" s="9" t="s">
        <v>131</v>
      </c>
      <c r="B287" s="6">
        <v>2022</v>
      </c>
      <c r="C287" s="10">
        <v>286</v>
      </c>
      <c r="D287" s="6" t="s">
        <v>591</v>
      </c>
      <c r="E287" s="6" t="s">
        <v>63</v>
      </c>
      <c r="F287" s="6" t="s">
        <v>592</v>
      </c>
      <c r="G287" s="11" t="s">
        <v>134</v>
      </c>
      <c r="H287" s="6" t="s">
        <v>135</v>
      </c>
      <c r="I287" s="6" t="s">
        <v>135</v>
      </c>
      <c r="J287" s="6" t="s">
        <v>134</v>
      </c>
      <c r="K287" s="12">
        <v>0</v>
      </c>
      <c r="L287" s="12">
        <v>0</v>
      </c>
      <c r="M287" s="10">
        <v>0</v>
      </c>
      <c r="N287" s="12">
        <v>0</v>
      </c>
      <c r="O287" s="12">
        <v>0</v>
      </c>
      <c r="P287" s="10">
        <v>0</v>
      </c>
      <c r="Q287" s="12">
        <v>0</v>
      </c>
      <c r="R287" s="12">
        <v>0</v>
      </c>
      <c r="S287" s="10">
        <v>0</v>
      </c>
      <c r="T287" s="12">
        <v>0</v>
      </c>
      <c r="U287" s="12">
        <v>0</v>
      </c>
      <c r="V287" s="10">
        <v>0</v>
      </c>
      <c r="W287" s="12">
        <v>0</v>
      </c>
      <c r="X287" s="12">
        <v>0</v>
      </c>
      <c r="Y287" s="10">
        <v>0</v>
      </c>
    </row>
    <row r="288" spans="1:25" x14ac:dyDescent="0.3">
      <c r="A288" s="9" t="s">
        <v>131</v>
      </c>
      <c r="B288" s="6">
        <v>2022</v>
      </c>
      <c r="C288" s="10">
        <v>287</v>
      </c>
      <c r="E288" s="6" t="s">
        <v>63</v>
      </c>
      <c r="G288" s="11" t="s">
        <v>134</v>
      </c>
      <c r="H288" s="6" t="s">
        <v>135</v>
      </c>
      <c r="I288" s="6" t="s">
        <v>135</v>
      </c>
      <c r="J288" s="6" t="s">
        <v>134</v>
      </c>
      <c r="K288" s="12">
        <v>0</v>
      </c>
      <c r="L288" s="12">
        <v>0</v>
      </c>
      <c r="M288" s="10">
        <v>0</v>
      </c>
      <c r="N288" s="12">
        <v>0</v>
      </c>
      <c r="O288" s="12">
        <v>0</v>
      </c>
      <c r="P288" s="10">
        <v>0</v>
      </c>
      <c r="Q288" s="12">
        <v>0</v>
      </c>
      <c r="R288" s="12">
        <v>0</v>
      </c>
      <c r="S288" s="10">
        <v>0</v>
      </c>
      <c r="T288" s="12">
        <v>0</v>
      </c>
      <c r="U288" s="12">
        <v>0</v>
      </c>
      <c r="V288" s="10">
        <v>0</v>
      </c>
      <c r="W288" s="12">
        <v>0</v>
      </c>
      <c r="X288" s="12">
        <v>0</v>
      </c>
      <c r="Y288" s="10">
        <v>0</v>
      </c>
    </row>
    <row r="289" spans="1:25" x14ac:dyDescent="0.3">
      <c r="A289" s="9" t="s">
        <v>131</v>
      </c>
      <c r="B289" s="6">
        <v>2022</v>
      </c>
      <c r="C289" s="10">
        <v>288</v>
      </c>
      <c r="D289" s="6" t="s">
        <v>112</v>
      </c>
      <c r="E289" s="6" t="s">
        <v>63</v>
      </c>
      <c r="F289" s="6" t="s">
        <v>593</v>
      </c>
      <c r="G289" s="11" t="s">
        <v>134</v>
      </c>
      <c r="H289" s="6" t="s">
        <v>135</v>
      </c>
      <c r="I289" s="6" t="s">
        <v>135</v>
      </c>
      <c r="J289" s="6" t="s">
        <v>134</v>
      </c>
      <c r="K289" s="12">
        <v>0</v>
      </c>
      <c r="L289" s="12">
        <v>0</v>
      </c>
      <c r="M289" s="10">
        <v>0</v>
      </c>
      <c r="N289" s="12">
        <v>0</v>
      </c>
      <c r="O289" s="12">
        <v>0</v>
      </c>
      <c r="P289" s="10">
        <v>0</v>
      </c>
      <c r="Q289" s="12">
        <v>0</v>
      </c>
      <c r="R289" s="12">
        <v>0</v>
      </c>
      <c r="S289" s="10">
        <v>0</v>
      </c>
      <c r="T289" s="12">
        <v>0</v>
      </c>
      <c r="U289" s="12">
        <v>0</v>
      </c>
      <c r="V289" s="10">
        <v>0</v>
      </c>
      <c r="W289" s="12">
        <v>0</v>
      </c>
      <c r="X289" s="12">
        <v>0</v>
      </c>
      <c r="Y289" s="10">
        <v>0</v>
      </c>
    </row>
    <row r="290" spans="1:25" x14ac:dyDescent="0.3">
      <c r="A290" s="9" t="s">
        <v>131</v>
      </c>
      <c r="B290" s="6">
        <v>2022</v>
      </c>
      <c r="C290" s="10">
        <v>289</v>
      </c>
      <c r="D290" s="6" t="s">
        <v>594</v>
      </c>
      <c r="E290" s="6" t="s">
        <v>63</v>
      </c>
      <c r="F290" s="6" t="s">
        <v>595</v>
      </c>
      <c r="G290" s="11" t="s">
        <v>134</v>
      </c>
      <c r="H290" s="6" t="s">
        <v>135</v>
      </c>
      <c r="I290" s="6" t="s">
        <v>135</v>
      </c>
      <c r="J290" s="6" t="s">
        <v>134</v>
      </c>
      <c r="K290" s="12">
        <v>0</v>
      </c>
      <c r="L290" s="12">
        <v>0</v>
      </c>
      <c r="M290" s="10">
        <v>0</v>
      </c>
      <c r="N290" s="12">
        <v>0</v>
      </c>
      <c r="O290" s="12">
        <v>0</v>
      </c>
      <c r="P290" s="10">
        <v>0</v>
      </c>
      <c r="Q290" s="12">
        <v>0</v>
      </c>
      <c r="R290" s="12">
        <v>0</v>
      </c>
      <c r="S290" s="10">
        <v>0</v>
      </c>
      <c r="T290" s="12">
        <v>0</v>
      </c>
      <c r="U290" s="12">
        <v>0</v>
      </c>
      <c r="V290" s="10">
        <v>0</v>
      </c>
      <c r="W290" s="12">
        <v>0</v>
      </c>
      <c r="X290" s="12">
        <v>0</v>
      </c>
      <c r="Y290" s="10">
        <v>0</v>
      </c>
    </row>
    <row r="291" spans="1:25" x14ac:dyDescent="0.3">
      <c r="A291" s="9" t="s">
        <v>131</v>
      </c>
      <c r="B291" s="6">
        <v>2022</v>
      </c>
      <c r="C291" s="10">
        <v>290</v>
      </c>
      <c r="D291" s="6" t="s">
        <v>596</v>
      </c>
      <c r="E291" s="6" t="s">
        <v>63</v>
      </c>
      <c r="F291" s="6" t="s">
        <v>597</v>
      </c>
      <c r="G291" s="11" t="s">
        <v>134</v>
      </c>
      <c r="H291" s="6" t="s">
        <v>135</v>
      </c>
      <c r="I291" s="6" t="s">
        <v>135</v>
      </c>
      <c r="J291" s="6" t="s">
        <v>134</v>
      </c>
      <c r="K291" s="12">
        <v>0</v>
      </c>
      <c r="L291" s="12">
        <v>0</v>
      </c>
      <c r="M291" s="10">
        <v>0</v>
      </c>
      <c r="N291" s="12">
        <v>0</v>
      </c>
      <c r="O291" s="12">
        <v>0</v>
      </c>
      <c r="P291" s="10">
        <v>0</v>
      </c>
      <c r="Q291" s="12">
        <v>0</v>
      </c>
      <c r="R291" s="12">
        <v>0</v>
      </c>
      <c r="S291" s="10">
        <v>0</v>
      </c>
      <c r="T291" s="12">
        <v>0</v>
      </c>
      <c r="U291" s="12">
        <v>0</v>
      </c>
      <c r="V291" s="10">
        <v>0</v>
      </c>
      <c r="W291" s="12">
        <v>0</v>
      </c>
      <c r="X291" s="12">
        <v>0</v>
      </c>
      <c r="Y291" s="10">
        <v>0</v>
      </c>
    </row>
    <row r="292" spans="1:25" x14ac:dyDescent="0.3">
      <c r="A292" s="9" t="s">
        <v>131</v>
      </c>
      <c r="B292" s="6">
        <v>2022</v>
      </c>
      <c r="C292" s="10">
        <v>291</v>
      </c>
      <c r="D292" s="6" t="s">
        <v>598</v>
      </c>
      <c r="E292" s="6" t="s">
        <v>63</v>
      </c>
      <c r="F292" s="6" t="s">
        <v>599</v>
      </c>
      <c r="G292" s="11" t="s">
        <v>134</v>
      </c>
      <c r="H292" s="6" t="s">
        <v>135</v>
      </c>
      <c r="I292" s="6" t="s">
        <v>135</v>
      </c>
      <c r="J292" s="6" t="s">
        <v>134</v>
      </c>
      <c r="K292" s="12">
        <v>0</v>
      </c>
      <c r="L292" s="12">
        <v>0</v>
      </c>
      <c r="M292" s="10">
        <v>0</v>
      </c>
      <c r="N292" s="12">
        <v>0</v>
      </c>
      <c r="O292" s="12">
        <v>0</v>
      </c>
      <c r="P292" s="10">
        <v>0</v>
      </c>
      <c r="Q292" s="12">
        <v>0</v>
      </c>
      <c r="R292" s="12">
        <v>0</v>
      </c>
      <c r="S292" s="10">
        <v>0</v>
      </c>
      <c r="T292" s="12">
        <v>0</v>
      </c>
      <c r="U292" s="12">
        <v>0</v>
      </c>
      <c r="V292" s="10">
        <v>0</v>
      </c>
      <c r="W292" s="12">
        <v>0</v>
      </c>
      <c r="X292" s="12">
        <v>0</v>
      </c>
      <c r="Y292" s="10">
        <v>0</v>
      </c>
    </row>
    <row r="293" spans="1:25" x14ac:dyDescent="0.3">
      <c r="A293" s="9" t="s">
        <v>131</v>
      </c>
      <c r="B293" s="6">
        <v>2022</v>
      </c>
      <c r="C293" s="10">
        <v>292</v>
      </c>
      <c r="D293" s="6" t="s">
        <v>600</v>
      </c>
      <c r="E293" s="6" t="s">
        <v>63</v>
      </c>
      <c r="F293" s="6" t="s">
        <v>601</v>
      </c>
      <c r="G293" s="11" t="s">
        <v>134</v>
      </c>
      <c r="H293" s="6" t="s">
        <v>135</v>
      </c>
      <c r="I293" s="6" t="s">
        <v>135</v>
      </c>
      <c r="J293" s="6" t="s">
        <v>134</v>
      </c>
      <c r="K293" s="12">
        <v>0</v>
      </c>
      <c r="L293" s="12">
        <v>0</v>
      </c>
      <c r="M293" s="10">
        <v>0</v>
      </c>
      <c r="N293" s="12">
        <v>0</v>
      </c>
      <c r="O293" s="12">
        <v>0</v>
      </c>
      <c r="P293" s="10">
        <v>0</v>
      </c>
      <c r="Q293" s="12">
        <v>0</v>
      </c>
      <c r="R293" s="12">
        <v>0</v>
      </c>
      <c r="S293" s="10">
        <v>0</v>
      </c>
      <c r="T293" s="12">
        <v>0</v>
      </c>
      <c r="U293" s="12">
        <v>0</v>
      </c>
      <c r="V293" s="10">
        <v>0</v>
      </c>
      <c r="W293" s="12">
        <v>0</v>
      </c>
      <c r="X293" s="12">
        <v>0</v>
      </c>
      <c r="Y293" s="10">
        <v>0</v>
      </c>
    </row>
    <row r="294" spans="1:25" x14ac:dyDescent="0.3">
      <c r="A294" s="9" t="s">
        <v>131</v>
      </c>
      <c r="B294" s="6">
        <v>2022</v>
      </c>
      <c r="C294" s="10">
        <v>293</v>
      </c>
      <c r="D294" s="6" t="s">
        <v>602</v>
      </c>
      <c r="E294" s="6" t="s">
        <v>63</v>
      </c>
      <c r="F294" s="6" t="s">
        <v>603</v>
      </c>
      <c r="G294" s="11" t="s">
        <v>134</v>
      </c>
      <c r="H294" s="6" t="s">
        <v>135</v>
      </c>
      <c r="I294" s="6" t="s">
        <v>135</v>
      </c>
      <c r="J294" s="6" t="s">
        <v>134</v>
      </c>
      <c r="K294" s="12">
        <v>0</v>
      </c>
      <c r="L294" s="12">
        <v>0</v>
      </c>
      <c r="M294" s="10">
        <v>0</v>
      </c>
      <c r="N294" s="12">
        <v>0</v>
      </c>
      <c r="O294" s="12">
        <v>0</v>
      </c>
      <c r="P294" s="10">
        <v>0</v>
      </c>
      <c r="Q294" s="12">
        <v>0</v>
      </c>
      <c r="R294" s="12">
        <v>0</v>
      </c>
      <c r="S294" s="10">
        <v>0</v>
      </c>
      <c r="T294" s="12">
        <v>0</v>
      </c>
      <c r="U294" s="12">
        <v>0</v>
      </c>
      <c r="V294" s="10">
        <v>0</v>
      </c>
      <c r="W294" s="12">
        <v>0</v>
      </c>
      <c r="X294" s="12">
        <v>0</v>
      </c>
      <c r="Y294" s="10">
        <v>0</v>
      </c>
    </row>
    <row r="295" spans="1:25" x14ac:dyDescent="0.3">
      <c r="A295" s="9" t="s">
        <v>131</v>
      </c>
      <c r="B295" s="6">
        <v>2022</v>
      </c>
      <c r="C295" s="10">
        <v>294</v>
      </c>
      <c r="D295" s="6" t="s">
        <v>604</v>
      </c>
      <c r="E295" s="6" t="s">
        <v>63</v>
      </c>
      <c r="F295" s="6" t="s">
        <v>605</v>
      </c>
      <c r="G295" s="11" t="s">
        <v>134</v>
      </c>
      <c r="H295" s="6" t="s">
        <v>135</v>
      </c>
      <c r="I295" s="6" t="s">
        <v>135</v>
      </c>
      <c r="J295" s="6" t="s">
        <v>134</v>
      </c>
      <c r="K295" s="12">
        <v>0</v>
      </c>
      <c r="L295" s="12">
        <v>0</v>
      </c>
      <c r="M295" s="10">
        <v>0</v>
      </c>
      <c r="N295" s="12">
        <v>0</v>
      </c>
      <c r="O295" s="12">
        <v>0</v>
      </c>
      <c r="P295" s="10">
        <v>0</v>
      </c>
      <c r="Q295" s="12">
        <v>0</v>
      </c>
      <c r="R295" s="12">
        <v>0</v>
      </c>
      <c r="S295" s="10">
        <v>0</v>
      </c>
      <c r="T295" s="12">
        <v>0</v>
      </c>
      <c r="U295" s="12">
        <v>0</v>
      </c>
      <c r="V295" s="10">
        <v>0</v>
      </c>
      <c r="W295" s="12">
        <v>0</v>
      </c>
      <c r="X295" s="12">
        <v>0</v>
      </c>
      <c r="Y295" s="10">
        <v>0</v>
      </c>
    </row>
    <row r="296" spans="1:25" x14ac:dyDescent="0.3">
      <c r="A296" s="9" t="s">
        <v>131</v>
      </c>
      <c r="B296" s="6">
        <v>2022</v>
      </c>
      <c r="C296" s="10">
        <v>295</v>
      </c>
      <c r="D296" s="14" t="s">
        <v>606</v>
      </c>
      <c r="E296" s="6" t="s">
        <v>63</v>
      </c>
      <c r="F296" s="6" t="s">
        <v>607</v>
      </c>
      <c r="G296" s="11" t="s">
        <v>134</v>
      </c>
      <c r="H296" s="6" t="s">
        <v>135</v>
      </c>
      <c r="I296" s="6" t="s">
        <v>135</v>
      </c>
      <c r="J296" s="6" t="s">
        <v>134</v>
      </c>
      <c r="K296" s="12">
        <v>0</v>
      </c>
      <c r="L296" s="12">
        <v>0</v>
      </c>
      <c r="M296" s="10">
        <v>0</v>
      </c>
      <c r="N296" s="12">
        <v>0</v>
      </c>
      <c r="O296" s="12">
        <v>0</v>
      </c>
      <c r="P296" s="10">
        <v>0</v>
      </c>
      <c r="Q296" s="12">
        <v>0</v>
      </c>
      <c r="R296" s="12">
        <v>0</v>
      </c>
      <c r="S296" s="10">
        <v>0</v>
      </c>
      <c r="T296" s="12">
        <v>0</v>
      </c>
      <c r="U296" s="12">
        <v>0</v>
      </c>
      <c r="V296" s="10">
        <v>0</v>
      </c>
      <c r="W296" s="12">
        <v>0</v>
      </c>
      <c r="X296" s="12">
        <v>0</v>
      </c>
      <c r="Y296" s="10">
        <v>0</v>
      </c>
    </row>
    <row r="297" spans="1:25" x14ac:dyDescent="0.3">
      <c r="A297" s="9" t="s">
        <v>131</v>
      </c>
      <c r="B297" s="6">
        <v>2022</v>
      </c>
      <c r="C297" s="10">
        <v>296</v>
      </c>
      <c r="D297" s="6" t="s">
        <v>3263</v>
      </c>
      <c r="E297" s="6" t="s">
        <v>63</v>
      </c>
      <c r="F297" s="6" t="s">
        <v>608</v>
      </c>
      <c r="G297" s="11" t="s">
        <v>134</v>
      </c>
      <c r="H297" s="6" t="s">
        <v>135</v>
      </c>
      <c r="I297" s="6" t="s">
        <v>135</v>
      </c>
      <c r="J297" s="6" t="s">
        <v>134</v>
      </c>
      <c r="K297" s="12">
        <v>0</v>
      </c>
      <c r="L297" s="12">
        <v>0</v>
      </c>
      <c r="M297" s="10">
        <v>0</v>
      </c>
      <c r="N297" s="12">
        <v>0</v>
      </c>
      <c r="O297" s="12">
        <v>0</v>
      </c>
      <c r="P297" s="10">
        <v>0</v>
      </c>
      <c r="Q297" s="12">
        <v>0</v>
      </c>
      <c r="R297" s="12">
        <v>0</v>
      </c>
      <c r="S297" s="10">
        <v>0</v>
      </c>
      <c r="T297" s="12">
        <v>0</v>
      </c>
      <c r="U297" s="12">
        <v>0</v>
      </c>
      <c r="V297" s="10">
        <v>0</v>
      </c>
      <c r="W297" s="12">
        <v>0</v>
      </c>
      <c r="X297" s="12">
        <v>0</v>
      </c>
      <c r="Y297" s="10">
        <v>0</v>
      </c>
    </row>
    <row r="298" spans="1:25" x14ac:dyDescent="0.3">
      <c r="A298" s="9" t="s">
        <v>131</v>
      </c>
      <c r="B298" s="6">
        <v>2022</v>
      </c>
      <c r="C298" s="10">
        <v>297</v>
      </c>
      <c r="D298" s="6" t="s">
        <v>609</v>
      </c>
      <c r="E298" s="6" t="s">
        <v>63</v>
      </c>
      <c r="F298" s="6" t="s">
        <v>610</v>
      </c>
      <c r="G298" s="11" t="s">
        <v>134</v>
      </c>
      <c r="H298" s="6" t="s">
        <v>135</v>
      </c>
      <c r="I298" s="6" t="s">
        <v>135</v>
      </c>
      <c r="J298" s="6" t="s">
        <v>134</v>
      </c>
      <c r="K298" s="12">
        <v>0</v>
      </c>
      <c r="L298" s="12">
        <v>0</v>
      </c>
      <c r="M298" s="10">
        <v>0</v>
      </c>
      <c r="N298" s="12">
        <v>0</v>
      </c>
      <c r="O298" s="12">
        <v>0</v>
      </c>
      <c r="P298" s="10">
        <v>0</v>
      </c>
      <c r="Q298" s="12">
        <v>0</v>
      </c>
      <c r="R298" s="12">
        <v>0</v>
      </c>
      <c r="S298" s="10">
        <v>0</v>
      </c>
      <c r="T298" s="12">
        <v>0</v>
      </c>
      <c r="U298" s="12">
        <v>0</v>
      </c>
      <c r="V298" s="10">
        <v>0</v>
      </c>
      <c r="W298" s="12">
        <v>0</v>
      </c>
      <c r="X298" s="12">
        <v>0</v>
      </c>
      <c r="Y298" s="10">
        <v>0</v>
      </c>
    </row>
    <row r="299" spans="1:25" x14ac:dyDescent="0.3">
      <c r="A299" s="9" t="s">
        <v>131</v>
      </c>
      <c r="B299" s="6">
        <v>2022</v>
      </c>
      <c r="C299" s="10">
        <v>298</v>
      </c>
      <c r="D299" s="6" t="s">
        <v>611</v>
      </c>
      <c r="E299" s="6" t="s">
        <v>63</v>
      </c>
      <c r="F299" s="6" t="s">
        <v>612</v>
      </c>
      <c r="G299" s="11" t="s">
        <v>134</v>
      </c>
      <c r="H299" s="6" t="s">
        <v>135</v>
      </c>
      <c r="I299" s="6" t="s">
        <v>135</v>
      </c>
      <c r="J299" s="6" t="s">
        <v>134</v>
      </c>
      <c r="K299" s="12">
        <v>0</v>
      </c>
      <c r="L299" s="12">
        <v>0</v>
      </c>
      <c r="M299" s="10">
        <v>0</v>
      </c>
      <c r="N299" s="12">
        <v>0</v>
      </c>
      <c r="O299" s="12">
        <v>0</v>
      </c>
      <c r="P299" s="10">
        <v>0</v>
      </c>
      <c r="Q299" s="12">
        <v>0</v>
      </c>
      <c r="R299" s="12">
        <v>0</v>
      </c>
      <c r="S299" s="10">
        <v>0</v>
      </c>
      <c r="T299" s="12">
        <v>0</v>
      </c>
      <c r="U299" s="12">
        <v>0</v>
      </c>
      <c r="V299" s="10">
        <v>0</v>
      </c>
      <c r="W299" s="12">
        <v>0</v>
      </c>
      <c r="X299" s="12">
        <v>0</v>
      </c>
      <c r="Y299" s="10">
        <v>0</v>
      </c>
    </row>
    <row r="300" spans="1:25" x14ac:dyDescent="0.3">
      <c r="A300" s="9" t="s">
        <v>131</v>
      </c>
      <c r="B300" s="6">
        <v>2022</v>
      </c>
      <c r="C300" s="10">
        <v>299</v>
      </c>
      <c r="D300" s="6" t="s">
        <v>613</v>
      </c>
      <c r="E300" s="6" t="s">
        <v>63</v>
      </c>
      <c r="F300" s="6" t="s">
        <v>614</v>
      </c>
      <c r="G300" s="11" t="s">
        <v>134</v>
      </c>
      <c r="H300" s="6" t="s">
        <v>135</v>
      </c>
      <c r="I300" s="6" t="s">
        <v>135</v>
      </c>
      <c r="J300" s="6" t="s">
        <v>134</v>
      </c>
      <c r="K300" s="12">
        <v>0</v>
      </c>
      <c r="L300" s="12">
        <v>0</v>
      </c>
      <c r="M300" s="10">
        <v>0</v>
      </c>
      <c r="N300" s="12">
        <v>0</v>
      </c>
      <c r="O300" s="12">
        <v>0</v>
      </c>
      <c r="P300" s="10">
        <v>0</v>
      </c>
      <c r="Q300" s="12">
        <v>0</v>
      </c>
      <c r="R300" s="12">
        <v>0</v>
      </c>
      <c r="S300" s="10">
        <v>0</v>
      </c>
      <c r="T300" s="12">
        <v>0</v>
      </c>
      <c r="U300" s="12">
        <v>0</v>
      </c>
      <c r="V300" s="10">
        <v>0</v>
      </c>
      <c r="W300" s="12">
        <v>0</v>
      </c>
      <c r="X300" s="12">
        <v>0</v>
      </c>
      <c r="Y300" s="10">
        <v>0</v>
      </c>
    </row>
    <row r="301" spans="1:25" x14ac:dyDescent="0.3">
      <c r="A301" s="9" t="s">
        <v>131</v>
      </c>
      <c r="B301" s="6">
        <v>2022</v>
      </c>
      <c r="C301" s="10">
        <v>300</v>
      </c>
      <c r="D301" s="6" t="s">
        <v>615</v>
      </c>
      <c r="E301" s="6" t="s">
        <v>63</v>
      </c>
      <c r="F301" s="6" t="s">
        <v>616</v>
      </c>
      <c r="G301" s="11" t="s">
        <v>134</v>
      </c>
      <c r="H301" s="6" t="s">
        <v>135</v>
      </c>
      <c r="I301" s="6" t="s">
        <v>135</v>
      </c>
      <c r="J301" s="6" t="s">
        <v>134</v>
      </c>
      <c r="K301" s="12">
        <v>0</v>
      </c>
      <c r="L301" s="12">
        <v>0</v>
      </c>
      <c r="M301" s="10">
        <v>0</v>
      </c>
      <c r="N301" s="12">
        <v>0</v>
      </c>
      <c r="O301" s="12">
        <v>0</v>
      </c>
      <c r="P301" s="10">
        <v>0</v>
      </c>
      <c r="Q301" s="12">
        <v>0</v>
      </c>
      <c r="R301" s="12">
        <v>0</v>
      </c>
      <c r="S301" s="10">
        <v>0</v>
      </c>
      <c r="T301" s="12">
        <v>0</v>
      </c>
      <c r="U301" s="12">
        <v>0</v>
      </c>
      <c r="V301" s="10">
        <v>0</v>
      </c>
      <c r="W301" s="12">
        <v>0</v>
      </c>
      <c r="X301" s="12">
        <v>0</v>
      </c>
      <c r="Y301" s="10">
        <v>0</v>
      </c>
    </row>
    <row r="302" spans="1:25" x14ac:dyDescent="0.3">
      <c r="A302" s="9" t="s">
        <v>131</v>
      </c>
      <c r="B302" s="6">
        <v>2022</v>
      </c>
      <c r="C302" s="10">
        <v>301</v>
      </c>
      <c r="D302" s="6" t="s">
        <v>617</v>
      </c>
      <c r="E302" s="6" t="s">
        <v>63</v>
      </c>
      <c r="F302" s="6" t="s">
        <v>618</v>
      </c>
      <c r="G302" s="11" t="s">
        <v>134</v>
      </c>
      <c r="H302" s="6" t="s">
        <v>135</v>
      </c>
      <c r="I302" s="6" t="s">
        <v>135</v>
      </c>
      <c r="J302" s="6" t="s">
        <v>134</v>
      </c>
      <c r="K302" s="12">
        <v>0</v>
      </c>
      <c r="L302" s="12">
        <v>0</v>
      </c>
      <c r="M302" s="10">
        <v>0</v>
      </c>
      <c r="N302" s="12">
        <v>0</v>
      </c>
      <c r="O302" s="12">
        <v>0</v>
      </c>
      <c r="P302" s="10">
        <v>0</v>
      </c>
      <c r="Q302" s="12">
        <v>0</v>
      </c>
      <c r="R302" s="12">
        <v>0</v>
      </c>
      <c r="S302" s="10">
        <v>0</v>
      </c>
      <c r="T302" s="12">
        <v>0</v>
      </c>
      <c r="U302" s="12">
        <v>0</v>
      </c>
      <c r="V302" s="10">
        <v>0</v>
      </c>
      <c r="W302" s="12">
        <v>0</v>
      </c>
      <c r="X302" s="12">
        <v>0</v>
      </c>
      <c r="Y302" s="10">
        <v>0</v>
      </c>
    </row>
    <row r="303" spans="1:25" x14ac:dyDescent="0.3">
      <c r="A303" s="9" t="s">
        <v>131</v>
      </c>
      <c r="B303" s="6">
        <v>2022</v>
      </c>
      <c r="C303" s="10">
        <v>302</v>
      </c>
      <c r="D303" s="6" t="s">
        <v>619</v>
      </c>
      <c r="E303" s="6" t="s">
        <v>63</v>
      </c>
      <c r="F303" s="6" t="s">
        <v>134</v>
      </c>
      <c r="G303" s="13" t="s">
        <v>620</v>
      </c>
      <c r="H303" s="6" t="s">
        <v>135</v>
      </c>
      <c r="I303" s="6" t="s">
        <v>135</v>
      </c>
      <c r="J303" s="6" t="s">
        <v>134</v>
      </c>
      <c r="K303" s="12">
        <v>0</v>
      </c>
      <c r="L303" s="12">
        <v>0</v>
      </c>
      <c r="M303" s="10">
        <v>0</v>
      </c>
      <c r="N303" s="12">
        <v>0</v>
      </c>
      <c r="O303" s="12">
        <v>0</v>
      </c>
      <c r="P303" s="10">
        <v>0</v>
      </c>
      <c r="Q303" s="12">
        <v>0</v>
      </c>
      <c r="R303" s="12">
        <v>0</v>
      </c>
      <c r="S303" s="10">
        <v>0</v>
      </c>
      <c r="T303" s="12">
        <v>0</v>
      </c>
      <c r="U303" s="12">
        <v>0</v>
      </c>
      <c r="V303" s="10">
        <v>0</v>
      </c>
      <c r="W303" s="12">
        <v>0</v>
      </c>
      <c r="X303" s="12">
        <v>0</v>
      </c>
      <c r="Y303" s="10">
        <v>0</v>
      </c>
    </row>
    <row r="304" spans="1:25" x14ac:dyDescent="0.3">
      <c r="A304" s="9" t="s">
        <v>131</v>
      </c>
      <c r="B304" s="6">
        <v>2022</v>
      </c>
      <c r="C304" s="10">
        <v>303</v>
      </c>
      <c r="D304" s="6" t="s">
        <v>621</v>
      </c>
      <c r="E304" s="6" t="s">
        <v>63</v>
      </c>
      <c r="F304" s="6" t="s">
        <v>622</v>
      </c>
      <c r="G304" s="11" t="s">
        <v>134</v>
      </c>
      <c r="H304" s="6" t="s">
        <v>135</v>
      </c>
      <c r="I304" s="6" t="s">
        <v>135</v>
      </c>
      <c r="J304" s="6" t="s">
        <v>134</v>
      </c>
      <c r="K304" s="12">
        <v>100</v>
      </c>
      <c r="L304" s="12">
        <v>27</v>
      </c>
      <c r="M304" s="10">
        <v>273</v>
      </c>
      <c r="N304" s="12">
        <v>100</v>
      </c>
      <c r="O304" s="12">
        <v>27</v>
      </c>
      <c r="P304" s="10">
        <v>142</v>
      </c>
      <c r="Q304" s="12">
        <v>0</v>
      </c>
      <c r="R304" s="12">
        <v>0</v>
      </c>
      <c r="S304" s="10">
        <v>0</v>
      </c>
      <c r="T304" s="12">
        <v>0</v>
      </c>
      <c r="U304" s="12">
        <v>0</v>
      </c>
      <c r="V304" s="10">
        <v>0</v>
      </c>
      <c r="W304" s="12">
        <v>0</v>
      </c>
      <c r="X304" s="12">
        <v>0</v>
      </c>
      <c r="Y304" s="10">
        <v>0</v>
      </c>
    </row>
    <row r="305" spans="1:25" x14ac:dyDescent="0.3">
      <c r="A305" s="9" t="s">
        <v>131</v>
      </c>
      <c r="B305" s="6">
        <v>2022</v>
      </c>
      <c r="C305" s="10">
        <v>304</v>
      </c>
      <c r="D305" s="6" t="s">
        <v>623</v>
      </c>
      <c r="E305" s="6" t="s">
        <v>63</v>
      </c>
      <c r="F305" s="6" t="s">
        <v>624</v>
      </c>
      <c r="G305" s="11" t="s">
        <v>134</v>
      </c>
      <c r="H305" s="6" t="s">
        <v>135</v>
      </c>
      <c r="I305" s="6" t="s">
        <v>135</v>
      </c>
      <c r="J305" s="6" t="s">
        <v>134</v>
      </c>
      <c r="K305" s="12">
        <v>100</v>
      </c>
      <c r="L305" s="12">
        <v>27</v>
      </c>
      <c r="M305" s="10">
        <v>273</v>
      </c>
      <c r="N305" s="12">
        <v>100</v>
      </c>
      <c r="O305" s="12">
        <v>27</v>
      </c>
      <c r="P305" s="10">
        <v>142</v>
      </c>
      <c r="Q305" s="12">
        <v>0</v>
      </c>
      <c r="R305" s="12">
        <v>0</v>
      </c>
      <c r="S305" s="10">
        <v>0</v>
      </c>
      <c r="T305" s="12">
        <v>0</v>
      </c>
      <c r="U305" s="12">
        <v>0</v>
      </c>
      <c r="V305" s="10">
        <v>0</v>
      </c>
      <c r="W305" s="12">
        <v>0</v>
      </c>
      <c r="X305" s="12">
        <v>0</v>
      </c>
      <c r="Y305" s="10">
        <v>0</v>
      </c>
    </row>
    <row r="306" spans="1:25" x14ac:dyDescent="0.3">
      <c r="A306" s="9" t="s">
        <v>131</v>
      </c>
      <c r="B306" s="6">
        <v>2022</v>
      </c>
      <c r="C306" s="10">
        <v>305</v>
      </c>
      <c r="D306" s="6" t="s">
        <v>625</v>
      </c>
      <c r="E306" s="6" t="s">
        <v>63</v>
      </c>
      <c r="F306" s="6" t="s">
        <v>134</v>
      </c>
      <c r="G306" s="13" t="s">
        <v>626</v>
      </c>
      <c r="H306" s="6" t="s">
        <v>135</v>
      </c>
      <c r="I306" s="6" t="s">
        <v>135</v>
      </c>
      <c r="J306" s="6" t="s">
        <v>134</v>
      </c>
      <c r="K306" s="12">
        <v>0</v>
      </c>
      <c r="L306" s="12">
        <v>0</v>
      </c>
      <c r="M306" s="10">
        <v>0</v>
      </c>
      <c r="N306" s="12">
        <v>0</v>
      </c>
      <c r="O306" s="12">
        <v>0</v>
      </c>
      <c r="P306" s="10">
        <v>0</v>
      </c>
      <c r="Q306" s="12">
        <v>0</v>
      </c>
      <c r="R306" s="12">
        <v>0</v>
      </c>
      <c r="S306" s="10">
        <v>0</v>
      </c>
      <c r="T306" s="12">
        <v>0</v>
      </c>
      <c r="U306" s="12">
        <v>0</v>
      </c>
      <c r="V306" s="10">
        <v>0</v>
      </c>
      <c r="W306" s="12">
        <v>0</v>
      </c>
      <c r="X306" s="12">
        <v>0</v>
      </c>
      <c r="Y306" s="10">
        <v>0</v>
      </c>
    </row>
    <row r="307" spans="1:25" x14ac:dyDescent="0.3">
      <c r="A307" s="9" t="s">
        <v>131</v>
      </c>
      <c r="B307" s="6">
        <v>2022</v>
      </c>
      <c r="C307" s="10">
        <v>306</v>
      </c>
      <c r="D307" s="6" t="s">
        <v>627</v>
      </c>
      <c r="E307" s="6" t="s">
        <v>63</v>
      </c>
      <c r="F307" s="6" t="s">
        <v>134</v>
      </c>
      <c r="G307" s="13" t="s">
        <v>628</v>
      </c>
      <c r="H307" s="6" t="s">
        <v>135</v>
      </c>
      <c r="I307" s="6" t="s">
        <v>135</v>
      </c>
      <c r="J307" s="6" t="s">
        <v>134</v>
      </c>
      <c r="K307" s="12">
        <v>0</v>
      </c>
      <c r="L307" s="12">
        <v>0</v>
      </c>
      <c r="M307" s="10">
        <v>0</v>
      </c>
      <c r="N307" s="12">
        <v>0</v>
      </c>
      <c r="O307" s="12">
        <v>0</v>
      </c>
      <c r="P307" s="10">
        <v>0</v>
      </c>
      <c r="Q307" s="12">
        <v>0</v>
      </c>
      <c r="R307" s="12">
        <v>0</v>
      </c>
      <c r="S307" s="10">
        <v>0</v>
      </c>
      <c r="T307" s="12">
        <v>0</v>
      </c>
      <c r="U307" s="12">
        <v>0</v>
      </c>
      <c r="V307" s="10">
        <v>0</v>
      </c>
      <c r="W307" s="12">
        <v>0</v>
      </c>
      <c r="X307" s="12">
        <v>0</v>
      </c>
      <c r="Y307" s="10">
        <v>0</v>
      </c>
    </row>
    <row r="308" spans="1:25" x14ac:dyDescent="0.3">
      <c r="A308" s="9" t="s">
        <v>131</v>
      </c>
      <c r="B308" s="6">
        <v>2022</v>
      </c>
      <c r="C308" s="10">
        <v>307</v>
      </c>
      <c r="D308" s="6" t="s">
        <v>629</v>
      </c>
      <c r="E308" s="6" t="s">
        <v>63</v>
      </c>
      <c r="F308" s="6" t="s">
        <v>630</v>
      </c>
      <c r="G308" s="11" t="s">
        <v>134</v>
      </c>
      <c r="H308" s="6" t="s">
        <v>135</v>
      </c>
      <c r="I308" s="6" t="s">
        <v>135</v>
      </c>
      <c r="J308" s="6" t="s">
        <v>134</v>
      </c>
      <c r="K308" s="12">
        <v>100</v>
      </c>
      <c r="L308" s="12">
        <v>27</v>
      </c>
      <c r="M308" s="10">
        <v>274</v>
      </c>
      <c r="N308" s="12">
        <v>100</v>
      </c>
      <c r="O308" s="12">
        <v>27</v>
      </c>
      <c r="P308" s="10">
        <v>142</v>
      </c>
      <c r="Q308" s="12">
        <v>0</v>
      </c>
      <c r="R308" s="12">
        <v>0</v>
      </c>
      <c r="S308" s="10">
        <v>0</v>
      </c>
      <c r="T308" s="12">
        <v>0</v>
      </c>
      <c r="U308" s="12">
        <v>0</v>
      </c>
      <c r="V308" s="10">
        <v>0</v>
      </c>
      <c r="W308" s="12">
        <v>0</v>
      </c>
      <c r="X308" s="12">
        <v>0</v>
      </c>
      <c r="Y308" s="10">
        <v>0</v>
      </c>
    </row>
    <row r="309" spans="1:25" x14ac:dyDescent="0.3">
      <c r="A309" s="9" t="s">
        <v>131</v>
      </c>
      <c r="B309" s="6">
        <v>2022</v>
      </c>
      <c r="C309" s="10">
        <v>308</v>
      </c>
      <c r="D309" s="6" t="s">
        <v>631</v>
      </c>
      <c r="E309" s="6" t="s">
        <v>63</v>
      </c>
      <c r="F309" s="6" t="s">
        <v>632</v>
      </c>
      <c r="G309" s="11" t="s">
        <v>134</v>
      </c>
      <c r="H309" s="6" t="s">
        <v>135</v>
      </c>
      <c r="I309" s="6" t="s">
        <v>135</v>
      </c>
      <c r="J309" s="6" t="s">
        <v>134</v>
      </c>
      <c r="K309" s="12">
        <v>0</v>
      </c>
      <c r="L309" s="12">
        <v>0</v>
      </c>
      <c r="M309" s="10">
        <v>0</v>
      </c>
      <c r="N309" s="12">
        <v>0</v>
      </c>
      <c r="O309" s="12">
        <v>0</v>
      </c>
      <c r="P309" s="10">
        <v>0</v>
      </c>
      <c r="Q309" s="12">
        <v>0</v>
      </c>
      <c r="R309" s="12">
        <v>0</v>
      </c>
      <c r="S309" s="10">
        <v>0</v>
      </c>
      <c r="T309" s="12">
        <v>0</v>
      </c>
      <c r="U309" s="12">
        <v>0</v>
      </c>
      <c r="V309" s="10">
        <v>0</v>
      </c>
      <c r="W309" s="12">
        <v>0</v>
      </c>
      <c r="X309" s="12">
        <v>0</v>
      </c>
      <c r="Y309" s="10">
        <v>0</v>
      </c>
    </row>
    <row r="310" spans="1:25" x14ac:dyDescent="0.3">
      <c r="A310" s="9" t="s">
        <v>131</v>
      </c>
      <c r="B310" s="6">
        <v>2022</v>
      </c>
      <c r="C310" s="10">
        <v>309</v>
      </c>
      <c r="D310" s="6" t="s">
        <v>633</v>
      </c>
      <c r="E310" s="6" t="s">
        <v>63</v>
      </c>
      <c r="F310" s="6" t="s">
        <v>634</v>
      </c>
      <c r="G310" s="11" t="s">
        <v>134</v>
      </c>
      <c r="H310" s="6" t="s">
        <v>135</v>
      </c>
      <c r="I310" s="6" t="s">
        <v>135</v>
      </c>
      <c r="J310" s="6" t="s">
        <v>134</v>
      </c>
      <c r="K310" s="12">
        <v>0</v>
      </c>
      <c r="L310" s="12">
        <v>0</v>
      </c>
      <c r="M310" s="10">
        <v>0</v>
      </c>
      <c r="N310" s="12">
        <v>0</v>
      </c>
      <c r="O310" s="12">
        <v>0</v>
      </c>
      <c r="P310" s="10">
        <v>0</v>
      </c>
      <c r="Q310" s="12">
        <v>0</v>
      </c>
      <c r="R310" s="12">
        <v>0</v>
      </c>
      <c r="S310" s="10">
        <v>0</v>
      </c>
      <c r="T310" s="12">
        <v>0</v>
      </c>
      <c r="U310" s="12">
        <v>0</v>
      </c>
      <c r="V310" s="10">
        <v>0</v>
      </c>
      <c r="W310" s="12">
        <v>0</v>
      </c>
      <c r="X310" s="12">
        <v>0</v>
      </c>
      <c r="Y310" s="10">
        <v>0</v>
      </c>
    </row>
    <row r="311" spans="1:25" x14ac:dyDescent="0.3">
      <c r="A311" s="9" t="s">
        <v>131</v>
      </c>
      <c r="B311" s="6">
        <v>2022</v>
      </c>
      <c r="C311" s="10">
        <v>310</v>
      </c>
      <c r="D311" s="6" t="s">
        <v>635</v>
      </c>
      <c r="E311" s="6" t="s">
        <v>63</v>
      </c>
      <c r="F311" s="6" t="s">
        <v>636</v>
      </c>
      <c r="G311" s="11" t="s">
        <v>134</v>
      </c>
      <c r="H311" s="6" t="s">
        <v>135</v>
      </c>
      <c r="I311" s="6" t="s">
        <v>135</v>
      </c>
      <c r="J311" s="6" t="s">
        <v>134</v>
      </c>
      <c r="K311" s="12">
        <v>0</v>
      </c>
      <c r="L311" s="12">
        <v>0</v>
      </c>
      <c r="M311" s="10">
        <v>0</v>
      </c>
      <c r="N311" s="12">
        <v>0</v>
      </c>
      <c r="O311" s="12">
        <v>0</v>
      </c>
      <c r="P311" s="10">
        <v>0</v>
      </c>
      <c r="Q311" s="12">
        <v>0</v>
      </c>
      <c r="R311" s="12">
        <v>0</v>
      </c>
      <c r="S311" s="10">
        <v>0</v>
      </c>
      <c r="T311" s="12">
        <v>0</v>
      </c>
      <c r="U311" s="12">
        <v>0</v>
      </c>
      <c r="V311" s="10">
        <v>0</v>
      </c>
      <c r="W311" s="12">
        <v>0</v>
      </c>
      <c r="X311" s="12">
        <v>0</v>
      </c>
      <c r="Y311" s="10">
        <v>0</v>
      </c>
    </row>
    <row r="312" spans="1:25" x14ac:dyDescent="0.3">
      <c r="A312" s="9" t="s">
        <v>131</v>
      </c>
      <c r="B312" s="6">
        <v>2022</v>
      </c>
      <c r="C312" s="10">
        <v>311</v>
      </c>
      <c r="D312" s="6" t="s">
        <v>637</v>
      </c>
      <c r="E312" s="6" t="s">
        <v>63</v>
      </c>
      <c r="F312" s="6" t="s">
        <v>638</v>
      </c>
      <c r="G312" s="11" t="s">
        <v>134</v>
      </c>
      <c r="H312" s="6" t="s">
        <v>135</v>
      </c>
      <c r="I312" s="6" t="s">
        <v>135</v>
      </c>
      <c r="J312" s="6" t="s">
        <v>134</v>
      </c>
      <c r="K312" s="12">
        <v>0</v>
      </c>
      <c r="L312" s="12">
        <v>0</v>
      </c>
      <c r="M312" s="10">
        <v>0</v>
      </c>
      <c r="N312" s="12">
        <v>0</v>
      </c>
      <c r="O312" s="12">
        <v>0</v>
      </c>
      <c r="P312" s="10">
        <v>0</v>
      </c>
      <c r="Q312" s="12">
        <v>0</v>
      </c>
      <c r="R312" s="12">
        <v>0</v>
      </c>
      <c r="S312" s="10">
        <v>0</v>
      </c>
      <c r="T312" s="12">
        <v>0</v>
      </c>
      <c r="U312" s="12">
        <v>0</v>
      </c>
      <c r="V312" s="10">
        <v>0</v>
      </c>
      <c r="W312" s="12">
        <v>0</v>
      </c>
      <c r="X312" s="12">
        <v>0</v>
      </c>
      <c r="Y312" s="10">
        <v>0</v>
      </c>
    </row>
    <row r="313" spans="1:25" x14ac:dyDescent="0.3">
      <c r="A313" s="9" t="s">
        <v>131</v>
      </c>
      <c r="B313" s="6">
        <v>2022</v>
      </c>
      <c r="C313" s="10">
        <v>312</v>
      </c>
      <c r="D313" s="6" t="s">
        <v>639</v>
      </c>
      <c r="E313" s="6" t="s">
        <v>63</v>
      </c>
      <c r="F313" s="6" t="s">
        <v>640</v>
      </c>
      <c r="G313" s="11" t="s">
        <v>134</v>
      </c>
      <c r="H313" s="6" t="s">
        <v>135</v>
      </c>
      <c r="I313" s="6" t="s">
        <v>135</v>
      </c>
      <c r="J313" s="6" t="s">
        <v>134</v>
      </c>
      <c r="K313" s="12">
        <v>0</v>
      </c>
      <c r="L313" s="12">
        <v>0</v>
      </c>
      <c r="M313" s="10">
        <v>0</v>
      </c>
      <c r="N313" s="12">
        <v>0</v>
      </c>
      <c r="O313" s="12">
        <v>0</v>
      </c>
      <c r="P313" s="10">
        <v>0</v>
      </c>
      <c r="Q313" s="12">
        <v>0</v>
      </c>
      <c r="R313" s="12">
        <v>0</v>
      </c>
      <c r="S313" s="10">
        <v>0</v>
      </c>
      <c r="T313" s="12">
        <v>0</v>
      </c>
      <c r="U313" s="12">
        <v>0</v>
      </c>
      <c r="V313" s="10">
        <v>0</v>
      </c>
      <c r="W313" s="12">
        <v>0</v>
      </c>
      <c r="X313" s="12">
        <v>0</v>
      </c>
      <c r="Y313" s="10">
        <v>0</v>
      </c>
    </row>
    <row r="314" spans="1:25" x14ac:dyDescent="0.3">
      <c r="A314" s="9" t="s">
        <v>131</v>
      </c>
      <c r="B314" s="6">
        <v>2022</v>
      </c>
      <c r="C314" s="10">
        <v>313</v>
      </c>
      <c r="D314" s="6" t="s">
        <v>641</v>
      </c>
      <c r="E314" s="6" t="s">
        <v>63</v>
      </c>
      <c r="F314" s="6" t="s">
        <v>642</v>
      </c>
      <c r="G314" s="11" t="s">
        <v>134</v>
      </c>
      <c r="H314" s="6" t="s">
        <v>135</v>
      </c>
      <c r="I314" s="6" t="s">
        <v>135</v>
      </c>
      <c r="J314" s="6" t="s">
        <v>134</v>
      </c>
      <c r="K314" s="12">
        <v>0</v>
      </c>
      <c r="L314" s="12">
        <v>0</v>
      </c>
      <c r="M314" s="10">
        <v>0</v>
      </c>
      <c r="N314" s="12">
        <v>0</v>
      </c>
      <c r="O314" s="12">
        <v>0</v>
      </c>
      <c r="P314" s="10">
        <v>0</v>
      </c>
      <c r="Q314" s="12">
        <v>0</v>
      </c>
      <c r="R314" s="12">
        <v>0</v>
      </c>
      <c r="S314" s="10">
        <v>0</v>
      </c>
      <c r="T314" s="12">
        <v>0</v>
      </c>
      <c r="U314" s="12">
        <v>0</v>
      </c>
      <c r="V314" s="10">
        <v>0</v>
      </c>
      <c r="W314" s="12">
        <v>0</v>
      </c>
      <c r="X314" s="12">
        <v>0</v>
      </c>
      <c r="Y314" s="10">
        <v>0</v>
      </c>
    </row>
    <row r="315" spans="1:25" x14ac:dyDescent="0.3">
      <c r="A315" s="9" t="s">
        <v>131</v>
      </c>
      <c r="B315" s="6">
        <v>2022</v>
      </c>
      <c r="C315" s="10">
        <v>314</v>
      </c>
      <c r="D315" s="6" t="s">
        <v>643</v>
      </c>
      <c r="E315" s="6" t="s">
        <v>63</v>
      </c>
      <c r="F315" s="6" t="s">
        <v>644</v>
      </c>
      <c r="G315" s="11" t="s">
        <v>134</v>
      </c>
      <c r="H315" s="6" t="s">
        <v>135</v>
      </c>
      <c r="I315" s="6" t="s">
        <v>135</v>
      </c>
      <c r="J315" s="6" t="s">
        <v>134</v>
      </c>
      <c r="K315" s="12">
        <v>0</v>
      </c>
      <c r="L315" s="12">
        <v>0</v>
      </c>
      <c r="M315" s="10">
        <v>0</v>
      </c>
      <c r="N315" s="12">
        <v>0</v>
      </c>
      <c r="O315" s="12">
        <v>0</v>
      </c>
      <c r="P315" s="10">
        <v>0</v>
      </c>
      <c r="Q315" s="12">
        <v>0</v>
      </c>
      <c r="R315" s="12">
        <v>0</v>
      </c>
      <c r="S315" s="10">
        <v>0</v>
      </c>
      <c r="T315" s="12">
        <v>0</v>
      </c>
      <c r="U315" s="12">
        <v>0</v>
      </c>
      <c r="V315" s="10">
        <v>0</v>
      </c>
      <c r="W315" s="12">
        <v>0</v>
      </c>
      <c r="X315" s="12">
        <v>0</v>
      </c>
      <c r="Y315" s="10">
        <v>0</v>
      </c>
    </row>
    <row r="316" spans="1:25" x14ac:dyDescent="0.3">
      <c r="A316" s="9" t="s">
        <v>131</v>
      </c>
      <c r="B316" s="6">
        <v>2022</v>
      </c>
      <c r="C316" s="10">
        <v>315</v>
      </c>
      <c r="D316" s="6" t="s">
        <v>645</v>
      </c>
      <c r="E316" s="6" t="s">
        <v>63</v>
      </c>
      <c r="F316" s="6" t="s">
        <v>646</v>
      </c>
      <c r="G316" s="11" t="s">
        <v>134</v>
      </c>
      <c r="H316" s="6" t="s">
        <v>135</v>
      </c>
      <c r="I316" s="6" t="s">
        <v>135</v>
      </c>
      <c r="J316" s="6" t="s">
        <v>134</v>
      </c>
      <c r="K316" s="12">
        <v>0</v>
      </c>
      <c r="L316" s="12">
        <v>0</v>
      </c>
      <c r="M316" s="10">
        <v>0</v>
      </c>
      <c r="N316" s="12">
        <v>0</v>
      </c>
      <c r="O316" s="12">
        <v>0</v>
      </c>
      <c r="P316" s="10">
        <v>0</v>
      </c>
      <c r="Q316" s="12">
        <v>0</v>
      </c>
      <c r="R316" s="12">
        <v>0</v>
      </c>
      <c r="S316" s="10">
        <v>0</v>
      </c>
      <c r="T316" s="12">
        <v>0</v>
      </c>
      <c r="U316" s="12">
        <v>0</v>
      </c>
      <c r="V316" s="10">
        <v>0</v>
      </c>
      <c r="W316" s="12">
        <v>0</v>
      </c>
      <c r="X316" s="12">
        <v>0</v>
      </c>
      <c r="Y316" s="10">
        <v>0</v>
      </c>
    </row>
    <row r="317" spans="1:25" x14ac:dyDescent="0.3">
      <c r="A317" s="9" t="s">
        <v>131</v>
      </c>
      <c r="B317" s="6">
        <v>2022</v>
      </c>
      <c r="C317" s="10">
        <v>316</v>
      </c>
      <c r="D317" s="6" t="s">
        <v>647</v>
      </c>
      <c r="E317" s="6" t="s">
        <v>63</v>
      </c>
      <c r="F317" s="6" t="s">
        <v>134</v>
      </c>
      <c r="G317" s="13" t="s">
        <v>648</v>
      </c>
      <c r="H317" s="6" t="s">
        <v>135</v>
      </c>
      <c r="I317" s="6" t="s">
        <v>135</v>
      </c>
      <c r="J317" s="6" t="s">
        <v>134</v>
      </c>
      <c r="K317" s="12">
        <v>0</v>
      </c>
      <c r="L317" s="12">
        <v>0</v>
      </c>
      <c r="M317" s="10">
        <v>0</v>
      </c>
      <c r="N317" s="12">
        <v>0</v>
      </c>
      <c r="O317" s="12">
        <v>0</v>
      </c>
      <c r="P317" s="10">
        <v>0</v>
      </c>
      <c r="Q317" s="12">
        <v>0</v>
      </c>
      <c r="R317" s="12">
        <v>0</v>
      </c>
      <c r="S317" s="10">
        <v>0</v>
      </c>
      <c r="T317" s="12">
        <v>0</v>
      </c>
      <c r="U317" s="12">
        <v>0</v>
      </c>
      <c r="V317" s="10">
        <v>0</v>
      </c>
      <c r="W317" s="12">
        <v>0</v>
      </c>
      <c r="X317" s="12">
        <v>0</v>
      </c>
      <c r="Y317" s="10">
        <v>0</v>
      </c>
    </row>
    <row r="318" spans="1:25" x14ac:dyDescent="0.3">
      <c r="A318" s="9" t="s">
        <v>131</v>
      </c>
      <c r="B318" s="6">
        <v>2022</v>
      </c>
      <c r="C318" s="10">
        <v>317</v>
      </c>
      <c r="D318" s="6" t="s">
        <v>649</v>
      </c>
      <c r="E318" s="6" t="s">
        <v>63</v>
      </c>
      <c r="F318" s="6" t="s">
        <v>650</v>
      </c>
      <c r="G318" s="11" t="s">
        <v>134</v>
      </c>
      <c r="H318" s="6" t="s">
        <v>135</v>
      </c>
      <c r="I318" s="6" t="s">
        <v>135</v>
      </c>
      <c r="J318" s="6" t="s">
        <v>134</v>
      </c>
      <c r="K318" s="12">
        <v>0</v>
      </c>
      <c r="L318" s="12">
        <v>0</v>
      </c>
      <c r="M318" s="10">
        <v>0</v>
      </c>
      <c r="N318" s="12">
        <v>0</v>
      </c>
      <c r="O318" s="12">
        <v>0</v>
      </c>
      <c r="P318" s="10">
        <v>0</v>
      </c>
      <c r="Q318" s="12">
        <v>0</v>
      </c>
      <c r="R318" s="12">
        <v>0</v>
      </c>
      <c r="S318" s="10">
        <v>0</v>
      </c>
      <c r="T318" s="12">
        <v>0</v>
      </c>
      <c r="U318" s="12">
        <v>0</v>
      </c>
      <c r="V318" s="10">
        <v>0</v>
      </c>
      <c r="W318" s="12">
        <v>0</v>
      </c>
      <c r="X318" s="12">
        <v>0</v>
      </c>
      <c r="Y318" s="10">
        <v>0</v>
      </c>
    </row>
    <row r="319" spans="1:25" x14ac:dyDescent="0.3">
      <c r="A319" s="9" t="s">
        <v>131</v>
      </c>
      <c r="B319" s="6">
        <v>2022</v>
      </c>
      <c r="C319" s="10">
        <v>318</v>
      </c>
      <c r="D319" s="6" t="s">
        <v>651</v>
      </c>
      <c r="E319" s="6" t="s">
        <v>63</v>
      </c>
      <c r="F319" s="6" t="s">
        <v>652</v>
      </c>
      <c r="G319" s="11" t="s">
        <v>134</v>
      </c>
      <c r="H319" s="6" t="s">
        <v>135</v>
      </c>
      <c r="I319" s="6" t="s">
        <v>135</v>
      </c>
      <c r="J319" s="6" t="s">
        <v>134</v>
      </c>
      <c r="K319" s="12">
        <v>0</v>
      </c>
      <c r="L319" s="12">
        <v>0</v>
      </c>
      <c r="M319" s="10">
        <v>0</v>
      </c>
      <c r="N319" s="12">
        <v>0</v>
      </c>
      <c r="O319" s="12">
        <v>0</v>
      </c>
      <c r="P319" s="10">
        <v>0</v>
      </c>
      <c r="Q319" s="12">
        <v>0</v>
      </c>
      <c r="R319" s="12">
        <v>0</v>
      </c>
      <c r="S319" s="10">
        <v>0</v>
      </c>
      <c r="T319" s="12">
        <v>0</v>
      </c>
      <c r="U319" s="12">
        <v>0</v>
      </c>
      <c r="V319" s="10">
        <v>0</v>
      </c>
      <c r="W319" s="12">
        <v>0</v>
      </c>
      <c r="X319" s="12">
        <v>0</v>
      </c>
      <c r="Y319" s="10">
        <v>0</v>
      </c>
    </row>
    <row r="320" spans="1:25" x14ac:dyDescent="0.3">
      <c r="A320" s="9" t="s">
        <v>131</v>
      </c>
      <c r="B320" s="6">
        <v>2022</v>
      </c>
      <c r="C320" s="10">
        <v>319</v>
      </c>
      <c r="D320" s="6" t="s">
        <v>653</v>
      </c>
      <c r="E320" s="6" t="s">
        <v>63</v>
      </c>
      <c r="F320" s="6" t="s">
        <v>134</v>
      </c>
      <c r="G320" s="13" t="s">
        <v>654</v>
      </c>
      <c r="H320" s="6" t="s">
        <v>135</v>
      </c>
      <c r="I320" s="6" t="s">
        <v>135</v>
      </c>
      <c r="J320" s="6" t="s">
        <v>134</v>
      </c>
      <c r="K320" s="12">
        <v>0</v>
      </c>
      <c r="L320" s="12">
        <v>0</v>
      </c>
      <c r="M320" s="10">
        <v>0</v>
      </c>
      <c r="N320" s="12">
        <v>0</v>
      </c>
      <c r="O320" s="12">
        <v>0</v>
      </c>
      <c r="P320" s="10">
        <v>0</v>
      </c>
      <c r="Q320" s="12">
        <v>0</v>
      </c>
      <c r="R320" s="12">
        <v>0</v>
      </c>
      <c r="S320" s="10">
        <v>0</v>
      </c>
      <c r="T320" s="12">
        <v>0</v>
      </c>
      <c r="U320" s="12">
        <v>0</v>
      </c>
      <c r="V320" s="10">
        <v>0</v>
      </c>
      <c r="W320" s="12">
        <v>0</v>
      </c>
      <c r="X320" s="12">
        <v>0</v>
      </c>
      <c r="Y320" s="10">
        <v>0</v>
      </c>
    </row>
    <row r="321" spans="1:25" x14ac:dyDescent="0.3">
      <c r="A321" s="9" t="s">
        <v>131</v>
      </c>
      <c r="B321" s="6">
        <v>2022</v>
      </c>
      <c r="C321" s="10">
        <v>320</v>
      </c>
      <c r="D321" s="6" t="s">
        <v>655</v>
      </c>
      <c r="E321" s="6" t="s">
        <v>63</v>
      </c>
      <c r="F321" s="6" t="s">
        <v>656</v>
      </c>
      <c r="G321" s="11" t="s">
        <v>134</v>
      </c>
      <c r="H321" s="6" t="s">
        <v>135</v>
      </c>
      <c r="I321" s="6" t="s">
        <v>135</v>
      </c>
      <c r="J321" s="6" t="s">
        <v>134</v>
      </c>
      <c r="K321" s="12">
        <v>0</v>
      </c>
      <c r="L321" s="12">
        <v>0</v>
      </c>
      <c r="M321" s="10">
        <v>0</v>
      </c>
      <c r="N321" s="12">
        <v>0</v>
      </c>
      <c r="O321" s="12">
        <v>0</v>
      </c>
      <c r="P321" s="10">
        <v>0</v>
      </c>
      <c r="Q321" s="12">
        <v>0</v>
      </c>
      <c r="R321" s="12">
        <v>0</v>
      </c>
      <c r="S321" s="10">
        <v>0</v>
      </c>
      <c r="T321" s="12">
        <v>0</v>
      </c>
      <c r="U321" s="12">
        <v>0</v>
      </c>
      <c r="V321" s="10">
        <v>0</v>
      </c>
      <c r="W321" s="12">
        <v>0</v>
      </c>
      <c r="X321" s="12">
        <v>0</v>
      </c>
      <c r="Y321" s="10">
        <v>0</v>
      </c>
    </row>
    <row r="322" spans="1:25" x14ac:dyDescent="0.3">
      <c r="A322" s="9" t="s">
        <v>131</v>
      </c>
      <c r="B322" s="6">
        <v>2022</v>
      </c>
      <c r="C322" s="10">
        <v>321</v>
      </c>
      <c r="D322" s="6" t="s">
        <v>657</v>
      </c>
      <c r="E322" s="6" t="s">
        <v>63</v>
      </c>
      <c r="F322" s="6" t="s">
        <v>658</v>
      </c>
      <c r="G322" s="11" t="s">
        <v>134</v>
      </c>
      <c r="H322" s="6" t="s">
        <v>135</v>
      </c>
      <c r="I322" s="6" t="s">
        <v>135</v>
      </c>
      <c r="J322" s="6" t="s">
        <v>134</v>
      </c>
      <c r="K322" s="12">
        <v>0</v>
      </c>
      <c r="L322" s="12">
        <v>0</v>
      </c>
      <c r="M322" s="10">
        <v>0</v>
      </c>
      <c r="N322" s="12">
        <v>0</v>
      </c>
      <c r="O322" s="12">
        <v>0</v>
      </c>
      <c r="P322" s="10">
        <v>0</v>
      </c>
      <c r="Q322" s="12">
        <v>0</v>
      </c>
      <c r="R322" s="12">
        <v>0</v>
      </c>
      <c r="S322" s="10">
        <v>0</v>
      </c>
      <c r="T322" s="12">
        <v>0</v>
      </c>
      <c r="U322" s="12">
        <v>0</v>
      </c>
      <c r="V322" s="10">
        <v>0</v>
      </c>
      <c r="W322" s="12">
        <v>0</v>
      </c>
      <c r="X322" s="12">
        <v>0</v>
      </c>
      <c r="Y322" s="10">
        <v>0</v>
      </c>
    </row>
    <row r="323" spans="1:25" x14ac:dyDescent="0.3">
      <c r="A323" s="9" t="s">
        <v>131</v>
      </c>
      <c r="B323" s="6">
        <v>2022</v>
      </c>
      <c r="C323" s="10">
        <v>322</v>
      </c>
      <c r="D323" s="6" t="s">
        <v>659</v>
      </c>
      <c r="E323" s="6" t="s">
        <v>63</v>
      </c>
      <c r="F323" s="6" t="s">
        <v>660</v>
      </c>
      <c r="G323" s="11" t="s">
        <v>134</v>
      </c>
      <c r="H323" s="6" t="s">
        <v>135</v>
      </c>
      <c r="I323" s="6" t="s">
        <v>135</v>
      </c>
      <c r="J323" s="6" t="s">
        <v>134</v>
      </c>
      <c r="K323" s="12">
        <v>0</v>
      </c>
      <c r="L323" s="12">
        <v>0</v>
      </c>
      <c r="M323" s="10">
        <v>0</v>
      </c>
      <c r="N323" s="12">
        <v>0</v>
      </c>
      <c r="O323" s="12">
        <v>0</v>
      </c>
      <c r="P323" s="10">
        <v>0</v>
      </c>
      <c r="Q323" s="12">
        <v>0</v>
      </c>
      <c r="R323" s="12">
        <v>0</v>
      </c>
      <c r="S323" s="10">
        <v>0</v>
      </c>
      <c r="T323" s="12">
        <v>0</v>
      </c>
      <c r="U323" s="12">
        <v>0</v>
      </c>
      <c r="V323" s="10">
        <v>0</v>
      </c>
      <c r="W323" s="12">
        <v>0</v>
      </c>
      <c r="X323" s="12">
        <v>0</v>
      </c>
      <c r="Y323" s="10">
        <v>0</v>
      </c>
    </row>
    <row r="324" spans="1:25" x14ac:dyDescent="0.3">
      <c r="A324" s="9" t="s">
        <v>131</v>
      </c>
      <c r="B324" s="6">
        <v>2022</v>
      </c>
      <c r="C324" s="10">
        <v>323</v>
      </c>
      <c r="D324" s="6" t="s">
        <v>661</v>
      </c>
      <c r="E324" s="6" t="s">
        <v>63</v>
      </c>
      <c r="F324" s="6" t="s">
        <v>662</v>
      </c>
      <c r="G324" s="11" t="s">
        <v>134</v>
      </c>
      <c r="H324" s="6" t="s">
        <v>135</v>
      </c>
      <c r="I324" s="6" t="s">
        <v>135</v>
      </c>
      <c r="J324" s="6" t="s">
        <v>134</v>
      </c>
      <c r="K324" s="12">
        <v>0</v>
      </c>
      <c r="L324" s="12">
        <v>0</v>
      </c>
      <c r="M324" s="10">
        <v>0</v>
      </c>
      <c r="N324" s="12">
        <v>0</v>
      </c>
      <c r="O324" s="12">
        <v>0</v>
      </c>
      <c r="P324" s="10">
        <v>0</v>
      </c>
      <c r="Q324" s="12">
        <v>0</v>
      </c>
      <c r="R324" s="12">
        <v>0</v>
      </c>
      <c r="S324" s="10">
        <v>0</v>
      </c>
      <c r="T324" s="12">
        <v>0</v>
      </c>
      <c r="U324" s="12">
        <v>0</v>
      </c>
      <c r="V324" s="10">
        <v>0</v>
      </c>
      <c r="W324" s="12">
        <v>0</v>
      </c>
      <c r="X324" s="12">
        <v>0</v>
      </c>
      <c r="Y324" s="10">
        <v>0</v>
      </c>
    </row>
    <row r="325" spans="1:25" x14ac:dyDescent="0.3">
      <c r="A325" s="9" t="s">
        <v>131</v>
      </c>
      <c r="B325" s="6">
        <v>2022</v>
      </c>
      <c r="C325" s="10">
        <v>324</v>
      </c>
      <c r="D325" s="6" t="s">
        <v>663</v>
      </c>
      <c r="E325" s="6" t="s">
        <v>63</v>
      </c>
      <c r="F325" s="6" t="s">
        <v>664</v>
      </c>
      <c r="G325" s="11" t="s">
        <v>134</v>
      </c>
      <c r="H325" s="6" t="s">
        <v>135</v>
      </c>
      <c r="I325" s="6" t="s">
        <v>135</v>
      </c>
      <c r="J325" s="6" t="s">
        <v>134</v>
      </c>
      <c r="K325" s="12">
        <v>0</v>
      </c>
      <c r="L325" s="12">
        <v>0</v>
      </c>
      <c r="M325" s="10">
        <v>0</v>
      </c>
      <c r="N325" s="12">
        <v>0</v>
      </c>
      <c r="O325" s="12">
        <v>0</v>
      </c>
      <c r="P325" s="10">
        <v>0</v>
      </c>
      <c r="Q325" s="12">
        <v>0</v>
      </c>
      <c r="R325" s="12">
        <v>0</v>
      </c>
      <c r="S325" s="10">
        <v>0</v>
      </c>
      <c r="T325" s="12">
        <v>0</v>
      </c>
      <c r="U325" s="12">
        <v>0</v>
      </c>
      <c r="V325" s="10">
        <v>0</v>
      </c>
      <c r="W325" s="12">
        <v>0</v>
      </c>
      <c r="X325" s="12">
        <v>0</v>
      </c>
      <c r="Y325" s="10">
        <v>0</v>
      </c>
    </row>
    <row r="326" spans="1:25" x14ac:dyDescent="0.3">
      <c r="A326" s="9" t="s">
        <v>131</v>
      </c>
      <c r="B326" s="6">
        <v>2022</v>
      </c>
      <c r="C326" s="10">
        <v>325</v>
      </c>
      <c r="D326" s="6" t="s">
        <v>665</v>
      </c>
      <c r="E326" s="6" t="s">
        <v>63</v>
      </c>
      <c r="F326" s="6" t="s">
        <v>666</v>
      </c>
      <c r="G326" s="11" t="s">
        <v>134</v>
      </c>
      <c r="H326" s="6" t="s">
        <v>135</v>
      </c>
      <c r="I326" s="6" t="s">
        <v>135</v>
      </c>
      <c r="J326" s="6" t="s">
        <v>134</v>
      </c>
      <c r="K326" s="12">
        <v>0</v>
      </c>
      <c r="L326" s="12">
        <v>0</v>
      </c>
      <c r="M326" s="10">
        <v>0</v>
      </c>
      <c r="N326" s="12">
        <v>0</v>
      </c>
      <c r="O326" s="12">
        <v>0</v>
      </c>
      <c r="P326" s="10">
        <v>0</v>
      </c>
      <c r="Q326" s="12">
        <v>0</v>
      </c>
      <c r="R326" s="12">
        <v>0</v>
      </c>
      <c r="S326" s="10">
        <v>0</v>
      </c>
      <c r="T326" s="12">
        <v>0</v>
      </c>
      <c r="U326" s="12">
        <v>0</v>
      </c>
      <c r="V326" s="10">
        <v>0</v>
      </c>
      <c r="W326" s="12">
        <v>0</v>
      </c>
      <c r="X326" s="12">
        <v>0</v>
      </c>
      <c r="Y326" s="10">
        <v>0</v>
      </c>
    </row>
    <row r="327" spans="1:25" x14ac:dyDescent="0.3">
      <c r="A327" s="9" t="s">
        <v>131</v>
      </c>
      <c r="B327" s="6">
        <v>2022</v>
      </c>
      <c r="C327" s="10">
        <v>326</v>
      </c>
      <c r="D327" s="6" t="s">
        <v>667</v>
      </c>
      <c r="E327" s="6" t="s">
        <v>63</v>
      </c>
      <c r="F327" s="6" t="s">
        <v>668</v>
      </c>
      <c r="G327" s="11" t="s">
        <v>134</v>
      </c>
      <c r="H327" s="6" t="s">
        <v>135</v>
      </c>
      <c r="I327" s="6" t="s">
        <v>135</v>
      </c>
      <c r="J327" s="6" t="s">
        <v>134</v>
      </c>
      <c r="K327" s="12">
        <v>0</v>
      </c>
      <c r="L327" s="12">
        <v>0</v>
      </c>
      <c r="M327" s="10">
        <v>0</v>
      </c>
      <c r="N327" s="12">
        <v>0</v>
      </c>
      <c r="O327" s="12">
        <v>0</v>
      </c>
      <c r="P327" s="10">
        <v>0</v>
      </c>
      <c r="Q327" s="12">
        <v>0</v>
      </c>
      <c r="R327" s="12">
        <v>0</v>
      </c>
      <c r="S327" s="10">
        <v>0</v>
      </c>
      <c r="T327" s="12">
        <v>0</v>
      </c>
      <c r="U327" s="12">
        <v>0</v>
      </c>
      <c r="V327" s="10">
        <v>0</v>
      </c>
      <c r="W327" s="12">
        <v>0</v>
      </c>
      <c r="X327" s="12">
        <v>0</v>
      </c>
      <c r="Y327" s="10">
        <v>0</v>
      </c>
    </row>
    <row r="328" spans="1:25" x14ac:dyDescent="0.3">
      <c r="A328" s="9" t="s">
        <v>131</v>
      </c>
      <c r="B328" s="6">
        <v>2022</v>
      </c>
      <c r="C328" s="10">
        <v>327</v>
      </c>
      <c r="D328" s="6" t="s">
        <v>669</v>
      </c>
      <c r="E328" s="6" t="s">
        <v>63</v>
      </c>
      <c r="F328" s="6" t="s">
        <v>670</v>
      </c>
      <c r="G328" s="11" t="s">
        <v>134</v>
      </c>
      <c r="H328" s="6" t="s">
        <v>135</v>
      </c>
      <c r="I328" s="6" t="s">
        <v>135</v>
      </c>
      <c r="J328" s="6" t="s">
        <v>134</v>
      </c>
      <c r="K328" s="12">
        <v>0</v>
      </c>
      <c r="L328" s="12">
        <v>0</v>
      </c>
      <c r="M328" s="10">
        <v>0</v>
      </c>
      <c r="N328" s="12">
        <v>0</v>
      </c>
      <c r="O328" s="12">
        <v>0</v>
      </c>
      <c r="P328" s="10">
        <v>0</v>
      </c>
      <c r="Q328" s="12">
        <v>0</v>
      </c>
      <c r="R328" s="12">
        <v>0</v>
      </c>
      <c r="S328" s="10">
        <v>0</v>
      </c>
      <c r="T328" s="12">
        <v>0</v>
      </c>
      <c r="U328" s="12">
        <v>0</v>
      </c>
      <c r="V328" s="10">
        <v>0</v>
      </c>
      <c r="W328" s="12">
        <v>0</v>
      </c>
      <c r="X328" s="12">
        <v>0</v>
      </c>
      <c r="Y328" s="10">
        <v>0</v>
      </c>
    </row>
    <row r="329" spans="1:25" x14ac:dyDescent="0.3">
      <c r="A329" s="9" t="s">
        <v>131</v>
      </c>
      <c r="B329" s="6">
        <v>2022</v>
      </c>
      <c r="C329" s="10">
        <v>328</v>
      </c>
      <c r="D329" s="6" t="s">
        <v>671</v>
      </c>
      <c r="E329" s="6" t="s">
        <v>63</v>
      </c>
      <c r="F329" s="6" t="s">
        <v>134</v>
      </c>
      <c r="G329" s="13" t="s">
        <v>672</v>
      </c>
      <c r="H329" s="6" t="s">
        <v>135</v>
      </c>
      <c r="I329" s="6" t="s">
        <v>135</v>
      </c>
      <c r="J329" s="6" t="s">
        <v>134</v>
      </c>
      <c r="K329" s="12">
        <v>0</v>
      </c>
      <c r="L329" s="12">
        <v>0</v>
      </c>
      <c r="M329" s="10">
        <v>0</v>
      </c>
      <c r="N329" s="12">
        <v>0</v>
      </c>
      <c r="O329" s="12">
        <v>0</v>
      </c>
      <c r="P329" s="10">
        <v>0</v>
      </c>
      <c r="Q329" s="12">
        <v>0</v>
      </c>
      <c r="R329" s="12">
        <v>0</v>
      </c>
      <c r="S329" s="10">
        <v>0</v>
      </c>
      <c r="T329" s="12">
        <v>0</v>
      </c>
      <c r="U329" s="12">
        <v>0</v>
      </c>
      <c r="V329" s="10">
        <v>0</v>
      </c>
      <c r="W329" s="12">
        <v>0</v>
      </c>
      <c r="X329" s="12">
        <v>0</v>
      </c>
      <c r="Y329" s="10">
        <v>0</v>
      </c>
    </row>
    <row r="330" spans="1:25" x14ac:dyDescent="0.3">
      <c r="A330" s="9" t="s">
        <v>131</v>
      </c>
      <c r="B330" s="6">
        <v>2022</v>
      </c>
      <c r="C330" s="10">
        <v>329</v>
      </c>
      <c r="D330" s="6" t="s">
        <v>673</v>
      </c>
      <c r="E330" s="6" t="s">
        <v>63</v>
      </c>
      <c r="F330" s="6" t="s">
        <v>674</v>
      </c>
      <c r="G330" s="11" t="s">
        <v>134</v>
      </c>
      <c r="H330" s="6" t="s">
        <v>135</v>
      </c>
      <c r="I330" s="6" t="s">
        <v>135</v>
      </c>
      <c r="J330" s="6" t="s">
        <v>134</v>
      </c>
      <c r="K330" s="12">
        <v>0</v>
      </c>
      <c r="L330" s="12">
        <v>0</v>
      </c>
      <c r="M330" s="10">
        <v>0</v>
      </c>
      <c r="N330" s="12">
        <v>0</v>
      </c>
      <c r="O330" s="12">
        <v>0</v>
      </c>
      <c r="P330" s="10">
        <v>0</v>
      </c>
      <c r="Q330" s="12">
        <v>0</v>
      </c>
      <c r="R330" s="12">
        <v>0</v>
      </c>
      <c r="S330" s="10">
        <v>0</v>
      </c>
      <c r="T330" s="12">
        <v>0</v>
      </c>
      <c r="U330" s="12">
        <v>0</v>
      </c>
      <c r="V330" s="10">
        <v>0</v>
      </c>
      <c r="W330" s="12">
        <v>0</v>
      </c>
      <c r="X330" s="12">
        <v>0</v>
      </c>
      <c r="Y330" s="10">
        <v>0</v>
      </c>
    </row>
    <row r="331" spans="1:25" x14ac:dyDescent="0.3">
      <c r="A331" s="9" t="s">
        <v>131</v>
      </c>
      <c r="B331" s="6">
        <v>2022</v>
      </c>
      <c r="C331" s="10">
        <v>330</v>
      </c>
      <c r="D331" s="6" t="s">
        <v>675</v>
      </c>
      <c r="E331" s="6" t="s">
        <v>63</v>
      </c>
      <c r="F331" s="6" t="s">
        <v>674</v>
      </c>
      <c r="G331" s="11" t="s">
        <v>134</v>
      </c>
      <c r="H331" s="6" t="s">
        <v>135</v>
      </c>
      <c r="I331" s="6" t="s">
        <v>135</v>
      </c>
      <c r="J331" s="6" t="s">
        <v>134</v>
      </c>
      <c r="K331" s="12">
        <v>0</v>
      </c>
      <c r="L331" s="12">
        <v>0</v>
      </c>
      <c r="M331" s="10">
        <v>0</v>
      </c>
      <c r="N331" s="12">
        <v>0</v>
      </c>
      <c r="O331" s="12">
        <v>0</v>
      </c>
      <c r="P331" s="10">
        <v>0</v>
      </c>
      <c r="Q331" s="12">
        <v>0</v>
      </c>
      <c r="R331" s="12">
        <v>0</v>
      </c>
      <c r="S331" s="10">
        <v>0</v>
      </c>
      <c r="T331" s="12">
        <v>0</v>
      </c>
      <c r="U331" s="12">
        <v>0</v>
      </c>
      <c r="V331" s="10">
        <v>0</v>
      </c>
      <c r="W331" s="12">
        <v>0</v>
      </c>
      <c r="X331" s="12">
        <v>0</v>
      </c>
      <c r="Y331" s="10">
        <v>0</v>
      </c>
    </row>
    <row r="332" spans="1:25" x14ac:dyDescent="0.3">
      <c r="A332" s="9" t="s">
        <v>131</v>
      </c>
      <c r="B332" s="6">
        <v>2022</v>
      </c>
      <c r="C332" s="10">
        <v>331</v>
      </c>
      <c r="D332" s="6" t="s">
        <v>676</v>
      </c>
      <c r="E332" s="6" t="s">
        <v>63</v>
      </c>
      <c r="F332" s="6" t="s">
        <v>134</v>
      </c>
      <c r="G332" s="13" t="s">
        <v>677</v>
      </c>
      <c r="H332" s="6" t="s">
        <v>135</v>
      </c>
      <c r="I332" s="6" t="s">
        <v>135</v>
      </c>
      <c r="J332" s="6" t="s">
        <v>134</v>
      </c>
      <c r="K332" s="12">
        <v>0</v>
      </c>
      <c r="L332" s="12">
        <v>0</v>
      </c>
      <c r="M332" s="10">
        <v>0</v>
      </c>
      <c r="N332" s="12">
        <v>0</v>
      </c>
      <c r="O332" s="12">
        <v>0</v>
      </c>
      <c r="P332" s="10">
        <v>0</v>
      </c>
      <c r="Q332" s="12">
        <v>0</v>
      </c>
      <c r="R332" s="12">
        <v>0</v>
      </c>
      <c r="S332" s="10">
        <v>0</v>
      </c>
      <c r="T332" s="12">
        <v>0</v>
      </c>
      <c r="U332" s="12">
        <v>0</v>
      </c>
      <c r="V332" s="10">
        <v>0</v>
      </c>
      <c r="W332" s="12">
        <v>0</v>
      </c>
      <c r="X332" s="12">
        <v>0</v>
      </c>
      <c r="Y332" s="10">
        <v>0</v>
      </c>
    </row>
    <row r="333" spans="1:25" x14ac:dyDescent="0.3">
      <c r="A333" s="9" t="s">
        <v>131</v>
      </c>
      <c r="B333" s="6">
        <v>2022</v>
      </c>
      <c r="C333" s="10">
        <v>332</v>
      </c>
      <c r="D333" s="6" t="s">
        <v>678</v>
      </c>
      <c r="E333" s="6" t="s">
        <v>63</v>
      </c>
      <c r="F333" s="6" t="s">
        <v>679</v>
      </c>
      <c r="G333" s="11" t="s">
        <v>134</v>
      </c>
      <c r="H333" s="6" t="s">
        <v>135</v>
      </c>
      <c r="I333" s="6" t="s">
        <v>135</v>
      </c>
      <c r="J333" s="6" t="s">
        <v>134</v>
      </c>
      <c r="K333" s="12">
        <v>0</v>
      </c>
      <c r="L333" s="12">
        <v>0</v>
      </c>
      <c r="M333" s="10">
        <v>0</v>
      </c>
      <c r="N333" s="12">
        <v>0</v>
      </c>
      <c r="O333" s="12">
        <v>0</v>
      </c>
      <c r="P333" s="10">
        <v>0</v>
      </c>
      <c r="Q333" s="12">
        <v>0</v>
      </c>
      <c r="R333" s="12">
        <v>0</v>
      </c>
      <c r="S333" s="10">
        <v>0</v>
      </c>
      <c r="T333" s="12">
        <v>0</v>
      </c>
      <c r="U333" s="12">
        <v>0</v>
      </c>
      <c r="V333" s="10">
        <v>0</v>
      </c>
      <c r="W333" s="12">
        <v>0</v>
      </c>
      <c r="X333" s="12">
        <v>0</v>
      </c>
      <c r="Y333" s="10">
        <v>0</v>
      </c>
    </row>
    <row r="334" spans="1:25" x14ac:dyDescent="0.3">
      <c r="A334" s="9" t="s">
        <v>131</v>
      </c>
      <c r="B334" s="6">
        <v>2022</v>
      </c>
      <c r="C334" s="10">
        <v>333</v>
      </c>
      <c r="D334" s="6" t="s">
        <v>680</v>
      </c>
      <c r="E334" s="6" t="s">
        <v>63</v>
      </c>
      <c r="F334" s="6" t="s">
        <v>681</v>
      </c>
      <c r="G334" s="11" t="s">
        <v>134</v>
      </c>
      <c r="H334" s="6" t="s">
        <v>135</v>
      </c>
      <c r="I334" s="6" t="s">
        <v>135</v>
      </c>
      <c r="J334" s="6" t="s">
        <v>134</v>
      </c>
      <c r="K334" s="12">
        <v>0</v>
      </c>
      <c r="L334" s="12">
        <v>0</v>
      </c>
      <c r="M334" s="10">
        <v>0</v>
      </c>
      <c r="N334" s="12">
        <v>0</v>
      </c>
      <c r="O334" s="12">
        <v>0</v>
      </c>
      <c r="P334" s="10">
        <v>0</v>
      </c>
      <c r="Q334" s="12">
        <v>0</v>
      </c>
      <c r="R334" s="12">
        <v>0</v>
      </c>
      <c r="S334" s="10">
        <v>0</v>
      </c>
      <c r="T334" s="12">
        <v>0</v>
      </c>
      <c r="U334" s="12">
        <v>0</v>
      </c>
      <c r="V334" s="10">
        <v>0</v>
      </c>
      <c r="W334" s="12">
        <v>0</v>
      </c>
      <c r="X334" s="12">
        <v>0</v>
      </c>
      <c r="Y334" s="10">
        <v>0</v>
      </c>
    </row>
    <row r="335" spans="1:25" x14ac:dyDescent="0.3">
      <c r="A335" s="9" t="s">
        <v>131</v>
      </c>
      <c r="B335" s="6">
        <v>2022</v>
      </c>
      <c r="C335" s="10">
        <v>334</v>
      </c>
      <c r="E335" s="6" t="s">
        <v>63</v>
      </c>
      <c r="G335" s="11" t="s">
        <v>134</v>
      </c>
      <c r="H335" s="6" t="s">
        <v>135</v>
      </c>
      <c r="I335" s="6" t="s">
        <v>135</v>
      </c>
      <c r="J335" s="6" t="s">
        <v>134</v>
      </c>
      <c r="K335" s="12">
        <v>0</v>
      </c>
      <c r="L335" s="12">
        <v>0</v>
      </c>
      <c r="M335" s="10">
        <v>0</v>
      </c>
      <c r="N335" s="12">
        <v>0</v>
      </c>
      <c r="O335" s="12">
        <v>0</v>
      </c>
      <c r="P335" s="10">
        <v>0</v>
      </c>
      <c r="Q335" s="12">
        <v>0</v>
      </c>
      <c r="R335" s="12">
        <v>0</v>
      </c>
      <c r="S335" s="10">
        <v>0</v>
      </c>
      <c r="T335" s="12">
        <v>0</v>
      </c>
      <c r="U335" s="12">
        <v>0</v>
      </c>
      <c r="V335" s="10">
        <v>0</v>
      </c>
      <c r="W335" s="12">
        <v>0</v>
      </c>
      <c r="X335" s="12">
        <v>0</v>
      </c>
      <c r="Y335" s="10">
        <v>0</v>
      </c>
    </row>
    <row r="336" spans="1:25" x14ac:dyDescent="0.3">
      <c r="A336" s="9" t="s">
        <v>131</v>
      </c>
      <c r="B336" s="6">
        <v>2022</v>
      </c>
      <c r="C336" s="10">
        <v>335</v>
      </c>
      <c r="D336" s="6" t="s">
        <v>682</v>
      </c>
      <c r="E336" s="6" t="s">
        <v>63</v>
      </c>
      <c r="F336" s="6" t="s">
        <v>683</v>
      </c>
      <c r="G336" s="11" t="s">
        <v>134</v>
      </c>
      <c r="H336" s="6" t="s">
        <v>135</v>
      </c>
      <c r="I336" s="6" t="s">
        <v>135</v>
      </c>
      <c r="J336" s="6" t="s">
        <v>134</v>
      </c>
      <c r="K336" s="12">
        <v>0</v>
      </c>
      <c r="L336" s="12">
        <v>0</v>
      </c>
      <c r="M336" s="10">
        <v>0</v>
      </c>
      <c r="N336" s="12">
        <v>0</v>
      </c>
      <c r="O336" s="12">
        <v>0</v>
      </c>
      <c r="P336" s="10">
        <v>0</v>
      </c>
      <c r="Q336" s="12">
        <v>0</v>
      </c>
      <c r="R336" s="12">
        <v>0</v>
      </c>
      <c r="S336" s="10">
        <v>0</v>
      </c>
      <c r="T336" s="12">
        <v>0</v>
      </c>
      <c r="U336" s="12">
        <v>0</v>
      </c>
      <c r="V336" s="10">
        <v>0</v>
      </c>
      <c r="W336" s="12">
        <v>0</v>
      </c>
      <c r="X336" s="12">
        <v>0</v>
      </c>
      <c r="Y336" s="10">
        <v>0</v>
      </c>
    </row>
    <row r="337" spans="1:25" x14ac:dyDescent="0.3">
      <c r="A337" s="9" t="s">
        <v>131</v>
      </c>
      <c r="B337" s="6">
        <v>2022</v>
      </c>
      <c r="C337" s="10">
        <v>336</v>
      </c>
      <c r="D337" s="6" t="s">
        <v>684</v>
      </c>
      <c r="E337" s="6" t="s">
        <v>63</v>
      </c>
      <c r="F337" s="6" t="s">
        <v>685</v>
      </c>
      <c r="G337" s="11" t="s">
        <v>134</v>
      </c>
      <c r="H337" s="6" t="s">
        <v>135</v>
      </c>
      <c r="I337" s="6" t="s">
        <v>135</v>
      </c>
      <c r="J337" s="6" t="s">
        <v>134</v>
      </c>
      <c r="K337" s="12">
        <v>0</v>
      </c>
      <c r="L337" s="12">
        <v>0</v>
      </c>
      <c r="M337" s="10">
        <v>0</v>
      </c>
      <c r="N337" s="12">
        <v>0</v>
      </c>
      <c r="O337" s="12">
        <v>0</v>
      </c>
      <c r="P337" s="10">
        <v>0</v>
      </c>
      <c r="Q337" s="12">
        <v>0</v>
      </c>
      <c r="R337" s="12">
        <v>0</v>
      </c>
      <c r="S337" s="10">
        <v>0</v>
      </c>
      <c r="T337" s="12">
        <v>0</v>
      </c>
      <c r="U337" s="12">
        <v>0</v>
      </c>
      <c r="V337" s="10">
        <v>0</v>
      </c>
      <c r="W337" s="12">
        <v>0</v>
      </c>
      <c r="X337" s="12">
        <v>0</v>
      </c>
      <c r="Y337" s="10">
        <v>0</v>
      </c>
    </row>
    <row r="338" spans="1:25" x14ac:dyDescent="0.3">
      <c r="A338" s="9" t="s">
        <v>131</v>
      </c>
      <c r="B338" s="6">
        <v>2022</v>
      </c>
      <c r="C338" s="10">
        <v>337</v>
      </c>
      <c r="D338" s="6" t="s">
        <v>686</v>
      </c>
      <c r="E338" s="6" t="s">
        <v>63</v>
      </c>
      <c r="F338" s="6" t="s">
        <v>687</v>
      </c>
      <c r="G338" s="11" t="s">
        <v>134</v>
      </c>
      <c r="H338" s="6" t="s">
        <v>135</v>
      </c>
      <c r="I338" s="6" t="s">
        <v>135</v>
      </c>
      <c r="J338" s="6" t="s">
        <v>134</v>
      </c>
      <c r="K338" s="12">
        <v>0</v>
      </c>
      <c r="L338" s="12">
        <v>0</v>
      </c>
      <c r="M338" s="10">
        <v>0</v>
      </c>
      <c r="N338" s="12">
        <v>0</v>
      </c>
      <c r="O338" s="12">
        <v>0</v>
      </c>
      <c r="P338" s="10">
        <v>0</v>
      </c>
      <c r="Q338" s="12">
        <v>0</v>
      </c>
      <c r="R338" s="12">
        <v>0</v>
      </c>
      <c r="S338" s="10">
        <v>0</v>
      </c>
      <c r="T338" s="12">
        <v>0</v>
      </c>
      <c r="U338" s="12">
        <v>0</v>
      </c>
      <c r="V338" s="10">
        <v>0</v>
      </c>
      <c r="W338" s="12">
        <v>0</v>
      </c>
      <c r="X338" s="12">
        <v>0</v>
      </c>
      <c r="Y338" s="10">
        <v>0</v>
      </c>
    </row>
    <row r="339" spans="1:25" x14ac:dyDescent="0.3">
      <c r="A339" s="9" t="s">
        <v>131</v>
      </c>
      <c r="B339" s="6">
        <v>2022</v>
      </c>
      <c r="C339" s="10">
        <v>338</v>
      </c>
      <c r="D339" s="6" t="s">
        <v>3264</v>
      </c>
      <c r="E339" s="6" t="s">
        <v>63</v>
      </c>
      <c r="F339" s="6" t="s">
        <v>3265</v>
      </c>
      <c r="G339" s="11" t="s">
        <v>134</v>
      </c>
      <c r="H339" s="6" t="s">
        <v>135</v>
      </c>
      <c r="I339" s="6" t="s">
        <v>135</v>
      </c>
      <c r="J339" s="6" t="s">
        <v>134</v>
      </c>
      <c r="K339" s="12">
        <v>0</v>
      </c>
      <c r="L339" s="12">
        <v>0</v>
      </c>
      <c r="M339" s="10">
        <v>0</v>
      </c>
      <c r="N339" s="12">
        <v>0</v>
      </c>
      <c r="O339" s="12">
        <v>0</v>
      </c>
      <c r="P339" s="10">
        <v>0</v>
      </c>
      <c r="Q339" s="12">
        <v>0</v>
      </c>
      <c r="R339" s="12">
        <v>0</v>
      </c>
      <c r="S339" s="10">
        <v>0</v>
      </c>
      <c r="T339" s="12">
        <v>0</v>
      </c>
      <c r="U339" s="12">
        <v>0</v>
      </c>
      <c r="V339" s="10">
        <v>0</v>
      </c>
      <c r="W339" s="12">
        <v>0</v>
      </c>
      <c r="X339" s="12">
        <v>0</v>
      </c>
      <c r="Y339" s="10">
        <v>0</v>
      </c>
    </row>
    <row r="340" spans="1:25" x14ac:dyDescent="0.3">
      <c r="A340" s="9" t="s">
        <v>131</v>
      </c>
      <c r="B340" s="6">
        <v>2022</v>
      </c>
      <c r="C340" s="10">
        <v>339</v>
      </c>
      <c r="D340" s="14" t="s">
        <v>688</v>
      </c>
      <c r="E340" s="6" t="s">
        <v>63</v>
      </c>
      <c r="F340" s="6" t="s">
        <v>689</v>
      </c>
      <c r="G340" s="11" t="s">
        <v>134</v>
      </c>
      <c r="H340" s="6" t="s">
        <v>135</v>
      </c>
      <c r="I340" s="6" t="s">
        <v>135</v>
      </c>
      <c r="J340" s="6" t="s">
        <v>134</v>
      </c>
      <c r="K340" s="12">
        <v>0</v>
      </c>
      <c r="L340" s="12">
        <v>0</v>
      </c>
      <c r="M340" s="10">
        <v>0</v>
      </c>
      <c r="N340" s="12">
        <v>0</v>
      </c>
      <c r="O340" s="12">
        <v>0</v>
      </c>
      <c r="P340" s="10">
        <v>0</v>
      </c>
      <c r="Q340" s="12">
        <v>0</v>
      </c>
      <c r="R340" s="12">
        <v>0</v>
      </c>
      <c r="S340" s="10">
        <v>0</v>
      </c>
      <c r="T340" s="12">
        <v>0</v>
      </c>
      <c r="U340" s="12">
        <v>0</v>
      </c>
      <c r="V340" s="10">
        <v>0</v>
      </c>
      <c r="W340" s="12">
        <v>0</v>
      </c>
      <c r="X340" s="12">
        <v>0</v>
      </c>
      <c r="Y340" s="10">
        <v>0</v>
      </c>
    </row>
    <row r="341" spans="1:25" x14ac:dyDescent="0.3">
      <c r="A341" s="9" t="s">
        <v>131</v>
      </c>
      <c r="B341" s="6">
        <v>2022</v>
      </c>
      <c r="C341" s="10">
        <v>340</v>
      </c>
      <c r="D341" s="6" t="s">
        <v>690</v>
      </c>
      <c r="E341" s="6" t="s">
        <v>63</v>
      </c>
      <c r="F341" s="6" t="s">
        <v>691</v>
      </c>
      <c r="G341" s="11" t="s">
        <v>134</v>
      </c>
      <c r="H341" s="6" t="s">
        <v>135</v>
      </c>
      <c r="I341" s="6" t="s">
        <v>135</v>
      </c>
      <c r="J341" s="6" t="s">
        <v>134</v>
      </c>
      <c r="K341" s="12">
        <v>0</v>
      </c>
      <c r="L341" s="12">
        <v>0</v>
      </c>
      <c r="M341" s="10">
        <v>0</v>
      </c>
      <c r="N341" s="12">
        <v>0</v>
      </c>
      <c r="O341" s="12">
        <v>0</v>
      </c>
      <c r="P341" s="10">
        <v>0</v>
      </c>
      <c r="Q341" s="12">
        <v>0</v>
      </c>
      <c r="R341" s="12">
        <v>0</v>
      </c>
      <c r="S341" s="10">
        <v>0</v>
      </c>
      <c r="T341" s="12">
        <v>0</v>
      </c>
      <c r="U341" s="12">
        <v>0</v>
      </c>
      <c r="V341" s="10">
        <v>0</v>
      </c>
      <c r="W341" s="12">
        <v>0</v>
      </c>
      <c r="X341" s="12">
        <v>0</v>
      </c>
      <c r="Y341" s="10">
        <v>0</v>
      </c>
    </row>
    <row r="342" spans="1:25" x14ac:dyDescent="0.3">
      <c r="A342" s="9" t="s">
        <v>131</v>
      </c>
      <c r="B342" s="6">
        <v>2022</v>
      </c>
      <c r="C342" s="10">
        <v>341</v>
      </c>
      <c r="D342" s="6" t="s">
        <v>692</v>
      </c>
      <c r="E342" s="6" t="s">
        <v>63</v>
      </c>
      <c r="F342" s="6" t="s">
        <v>693</v>
      </c>
      <c r="G342" s="11" t="s">
        <v>134</v>
      </c>
      <c r="H342" s="6" t="s">
        <v>135</v>
      </c>
      <c r="I342" s="6" t="s">
        <v>135</v>
      </c>
      <c r="J342" s="6" t="s">
        <v>134</v>
      </c>
      <c r="K342" s="12">
        <v>0</v>
      </c>
      <c r="L342" s="12">
        <v>0</v>
      </c>
      <c r="M342" s="10">
        <v>0</v>
      </c>
      <c r="N342" s="12">
        <v>0</v>
      </c>
      <c r="O342" s="12">
        <v>0</v>
      </c>
      <c r="P342" s="10">
        <v>0</v>
      </c>
      <c r="Q342" s="12">
        <v>0</v>
      </c>
      <c r="R342" s="12">
        <v>0</v>
      </c>
      <c r="S342" s="10">
        <v>0</v>
      </c>
      <c r="T342" s="12">
        <v>0</v>
      </c>
      <c r="U342" s="12">
        <v>0</v>
      </c>
      <c r="V342" s="10">
        <v>0</v>
      </c>
      <c r="W342" s="12">
        <v>0</v>
      </c>
      <c r="X342" s="12">
        <v>0</v>
      </c>
      <c r="Y342" s="10">
        <v>0</v>
      </c>
    </row>
    <row r="343" spans="1:25" x14ac:dyDescent="0.3">
      <c r="A343" s="9" t="s">
        <v>131</v>
      </c>
      <c r="B343" s="6">
        <v>2022</v>
      </c>
      <c r="C343" s="10">
        <v>342</v>
      </c>
      <c r="D343" s="6" t="s">
        <v>694</v>
      </c>
      <c r="E343" s="6" t="s">
        <v>63</v>
      </c>
      <c r="F343" s="6" t="s">
        <v>695</v>
      </c>
      <c r="G343" s="11" t="s">
        <v>134</v>
      </c>
      <c r="H343" s="6" t="s">
        <v>135</v>
      </c>
      <c r="I343" s="6" t="s">
        <v>135</v>
      </c>
      <c r="J343" s="6" t="s">
        <v>134</v>
      </c>
      <c r="K343" s="12">
        <v>0</v>
      </c>
      <c r="L343" s="12">
        <v>0</v>
      </c>
      <c r="M343" s="10">
        <v>0</v>
      </c>
      <c r="N343" s="12">
        <v>0</v>
      </c>
      <c r="O343" s="12">
        <v>0</v>
      </c>
      <c r="P343" s="10">
        <v>0</v>
      </c>
      <c r="Q343" s="12">
        <v>0</v>
      </c>
      <c r="R343" s="12">
        <v>0</v>
      </c>
      <c r="S343" s="10">
        <v>0</v>
      </c>
      <c r="T343" s="12">
        <v>0</v>
      </c>
      <c r="U343" s="12">
        <v>0</v>
      </c>
      <c r="V343" s="10">
        <v>0</v>
      </c>
      <c r="W343" s="12">
        <v>0</v>
      </c>
      <c r="X343" s="12">
        <v>0</v>
      </c>
      <c r="Y343" s="10">
        <v>0</v>
      </c>
    </row>
    <row r="344" spans="1:25" x14ac:dyDescent="0.3">
      <c r="A344" s="9" t="s">
        <v>131</v>
      </c>
      <c r="B344" s="6">
        <v>2022</v>
      </c>
      <c r="C344" s="10">
        <v>343</v>
      </c>
      <c r="D344" s="6" t="s">
        <v>696</v>
      </c>
      <c r="E344" s="6" t="s">
        <v>63</v>
      </c>
      <c r="F344" s="6" t="s">
        <v>697</v>
      </c>
      <c r="G344" s="11" t="s">
        <v>134</v>
      </c>
      <c r="H344" s="6" t="s">
        <v>135</v>
      </c>
      <c r="I344" s="6" t="s">
        <v>135</v>
      </c>
      <c r="J344" s="6" t="s">
        <v>134</v>
      </c>
      <c r="K344" s="12">
        <v>0</v>
      </c>
      <c r="L344" s="12">
        <v>0</v>
      </c>
      <c r="M344" s="10">
        <v>0</v>
      </c>
      <c r="N344" s="12">
        <v>0</v>
      </c>
      <c r="O344" s="12">
        <v>0</v>
      </c>
      <c r="P344" s="10">
        <v>0</v>
      </c>
      <c r="Q344" s="12">
        <v>0</v>
      </c>
      <c r="R344" s="12">
        <v>0</v>
      </c>
      <c r="S344" s="10">
        <v>0</v>
      </c>
      <c r="T344" s="12">
        <v>0</v>
      </c>
      <c r="U344" s="12">
        <v>0</v>
      </c>
      <c r="V344" s="10">
        <v>0</v>
      </c>
      <c r="W344" s="12">
        <v>0</v>
      </c>
      <c r="X344" s="12">
        <v>0</v>
      </c>
      <c r="Y344" s="10">
        <v>0</v>
      </c>
    </row>
    <row r="345" spans="1:25" x14ac:dyDescent="0.3">
      <c r="A345" s="9" t="s">
        <v>131</v>
      </c>
      <c r="B345" s="6">
        <v>2022</v>
      </c>
      <c r="C345" s="10">
        <v>344</v>
      </c>
      <c r="D345" s="6" t="s">
        <v>698</v>
      </c>
      <c r="E345" s="6" t="s">
        <v>63</v>
      </c>
      <c r="F345" s="6" t="s">
        <v>699</v>
      </c>
      <c r="G345" s="11" t="s">
        <v>134</v>
      </c>
      <c r="H345" s="6" t="s">
        <v>135</v>
      </c>
      <c r="I345" s="6" t="s">
        <v>135</v>
      </c>
      <c r="J345" s="6" t="s">
        <v>134</v>
      </c>
      <c r="K345" s="12">
        <v>0</v>
      </c>
      <c r="L345" s="12">
        <v>0</v>
      </c>
      <c r="M345" s="10">
        <v>0</v>
      </c>
      <c r="N345" s="12">
        <v>0</v>
      </c>
      <c r="O345" s="12">
        <v>0</v>
      </c>
      <c r="P345" s="10">
        <v>0</v>
      </c>
      <c r="Q345" s="12">
        <v>0</v>
      </c>
      <c r="R345" s="12">
        <v>0</v>
      </c>
      <c r="S345" s="10">
        <v>0</v>
      </c>
      <c r="T345" s="12">
        <v>0</v>
      </c>
      <c r="U345" s="12">
        <v>0</v>
      </c>
      <c r="V345" s="10">
        <v>0</v>
      </c>
      <c r="W345" s="12">
        <v>0</v>
      </c>
      <c r="X345" s="12">
        <v>0</v>
      </c>
      <c r="Y345" s="10">
        <v>0</v>
      </c>
    </row>
    <row r="346" spans="1:25" x14ac:dyDescent="0.3">
      <c r="A346" s="9" t="s">
        <v>131</v>
      </c>
      <c r="B346" s="6">
        <v>2022</v>
      </c>
      <c r="C346" s="10">
        <v>345</v>
      </c>
      <c r="D346" s="6" t="s">
        <v>700</v>
      </c>
      <c r="E346" s="6" t="s">
        <v>63</v>
      </c>
      <c r="F346" s="6" t="s">
        <v>701</v>
      </c>
      <c r="G346" s="11" t="s">
        <v>134</v>
      </c>
      <c r="H346" s="6" t="s">
        <v>135</v>
      </c>
      <c r="I346" s="6" t="s">
        <v>135</v>
      </c>
      <c r="J346" s="6" t="s">
        <v>134</v>
      </c>
      <c r="K346" s="12">
        <v>0</v>
      </c>
      <c r="L346" s="12">
        <v>0</v>
      </c>
      <c r="M346" s="10">
        <v>0</v>
      </c>
      <c r="N346" s="12">
        <v>0</v>
      </c>
      <c r="O346" s="12">
        <v>0</v>
      </c>
      <c r="P346" s="10">
        <v>0</v>
      </c>
      <c r="Q346" s="12">
        <v>0</v>
      </c>
      <c r="R346" s="12">
        <v>0</v>
      </c>
      <c r="S346" s="10">
        <v>0</v>
      </c>
      <c r="T346" s="12">
        <v>0</v>
      </c>
      <c r="U346" s="12">
        <v>0</v>
      </c>
      <c r="V346" s="10">
        <v>0</v>
      </c>
      <c r="W346" s="12">
        <v>0</v>
      </c>
      <c r="X346" s="12">
        <v>0</v>
      </c>
      <c r="Y346" s="10">
        <v>0</v>
      </c>
    </row>
    <row r="347" spans="1:25" x14ac:dyDescent="0.3">
      <c r="A347" s="9" t="s">
        <v>131</v>
      </c>
      <c r="B347" s="6">
        <v>2022</v>
      </c>
      <c r="C347" s="10">
        <v>346</v>
      </c>
      <c r="D347" s="6" t="s">
        <v>702</v>
      </c>
      <c r="E347" s="6" t="s">
        <v>63</v>
      </c>
      <c r="F347" s="6" t="s">
        <v>703</v>
      </c>
      <c r="G347" s="11" t="s">
        <v>134</v>
      </c>
      <c r="H347" s="6" t="s">
        <v>135</v>
      </c>
      <c r="I347" s="6" t="s">
        <v>135</v>
      </c>
      <c r="J347" s="6" t="s">
        <v>134</v>
      </c>
      <c r="K347" s="12">
        <v>0</v>
      </c>
      <c r="L347" s="12">
        <v>0</v>
      </c>
      <c r="M347" s="10">
        <v>0</v>
      </c>
      <c r="N347" s="12">
        <v>0</v>
      </c>
      <c r="O347" s="12">
        <v>0</v>
      </c>
      <c r="P347" s="10">
        <v>0</v>
      </c>
      <c r="Q347" s="12">
        <v>0</v>
      </c>
      <c r="R347" s="12">
        <v>0</v>
      </c>
      <c r="S347" s="10">
        <v>0</v>
      </c>
      <c r="T347" s="12">
        <v>0</v>
      </c>
      <c r="U347" s="12">
        <v>0</v>
      </c>
      <c r="V347" s="10">
        <v>0</v>
      </c>
      <c r="W347" s="12">
        <v>0</v>
      </c>
      <c r="X347" s="12">
        <v>0</v>
      </c>
      <c r="Y347" s="10">
        <v>0</v>
      </c>
    </row>
    <row r="348" spans="1:25" x14ac:dyDescent="0.3">
      <c r="A348" s="9" t="s">
        <v>131</v>
      </c>
      <c r="B348" s="6">
        <v>2022</v>
      </c>
      <c r="C348" s="10">
        <v>347</v>
      </c>
      <c r="D348" s="6" t="s">
        <v>134</v>
      </c>
      <c r="E348" s="6" t="s">
        <v>63</v>
      </c>
      <c r="F348" s="6" t="s">
        <v>134</v>
      </c>
      <c r="G348" s="11" t="s">
        <v>134</v>
      </c>
      <c r="H348" s="6" t="s">
        <v>135</v>
      </c>
      <c r="I348" s="6" t="s">
        <v>135</v>
      </c>
      <c r="J348" s="6" t="s">
        <v>134</v>
      </c>
      <c r="K348" s="12">
        <v>0</v>
      </c>
      <c r="L348" s="12">
        <v>0</v>
      </c>
      <c r="M348" s="10">
        <v>0</v>
      </c>
      <c r="N348" s="12">
        <v>0</v>
      </c>
      <c r="O348" s="12">
        <v>0</v>
      </c>
      <c r="P348" s="10">
        <v>0</v>
      </c>
      <c r="Q348" s="12">
        <v>0</v>
      </c>
      <c r="R348" s="12">
        <v>0</v>
      </c>
      <c r="S348" s="10">
        <v>0</v>
      </c>
      <c r="T348" s="12">
        <v>0</v>
      </c>
      <c r="U348" s="12">
        <v>0</v>
      </c>
      <c r="V348" s="10">
        <v>0</v>
      </c>
      <c r="W348" s="12">
        <v>0</v>
      </c>
      <c r="X348" s="12">
        <v>0</v>
      </c>
      <c r="Y348" s="10">
        <v>0</v>
      </c>
    </row>
    <row r="349" spans="1:25" x14ac:dyDescent="0.3">
      <c r="A349" s="9" t="s">
        <v>131</v>
      </c>
      <c r="B349" s="6">
        <v>2022</v>
      </c>
      <c r="C349" s="10">
        <v>348</v>
      </c>
      <c r="D349" s="6" t="s">
        <v>704</v>
      </c>
      <c r="E349" s="6" t="s">
        <v>63</v>
      </c>
      <c r="F349" s="6" t="s">
        <v>705</v>
      </c>
      <c r="G349" s="11" t="s">
        <v>134</v>
      </c>
      <c r="H349" s="6" t="s">
        <v>135</v>
      </c>
      <c r="I349" s="6" t="s">
        <v>135</v>
      </c>
      <c r="J349" s="6" t="s">
        <v>134</v>
      </c>
      <c r="K349" s="12">
        <v>0</v>
      </c>
      <c r="L349" s="12">
        <v>0</v>
      </c>
      <c r="M349" s="10">
        <v>0</v>
      </c>
      <c r="N349" s="12">
        <v>0</v>
      </c>
      <c r="O349" s="12">
        <v>0</v>
      </c>
      <c r="P349" s="10">
        <v>0</v>
      </c>
      <c r="Q349" s="12">
        <v>0</v>
      </c>
      <c r="R349" s="12">
        <v>0</v>
      </c>
      <c r="S349" s="10">
        <v>0</v>
      </c>
      <c r="T349" s="12">
        <v>0</v>
      </c>
      <c r="U349" s="12">
        <v>0</v>
      </c>
      <c r="V349" s="10">
        <v>0</v>
      </c>
      <c r="W349" s="12">
        <v>0</v>
      </c>
      <c r="X349" s="12">
        <v>0</v>
      </c>
      <c r="Y349" s="10">
        <v>0</v>
      </c>
    </row>
    <row r="350" spans="1:25" x14ac:dyDescent="0.3">
      <c r="A350" s="9" t="s">
        <v>131</v>
      </c>
      <c r="B350" s="6">
        <v>2022</v>
      </c>
      <c r="C350" s="10">
        <v>349</v>
      </c>
      <c r="D350" s="6" t="s">
        <v>706</v>
      </c>
      <c r="E350" s="6" t="s">
        <v>63</v>
      </c>
      <c r="F350" s="6" t="s">
        <v>707</v>
      </c>
      <c r="G350" s="11" t="s">
        <v>134</v>
      </c>
      <c r="H350" s="6" t="s">
        <v>135</v>
      </c>
      <c r="I350" s="6" t="s">
        <v>135</v>
      </c>
      <c r="J350" s="6" t="s">
        <v>134</v>
      </c>
      <c r="K350" s="12">
        <v>0</v>
      </c>
      <c r="L350" s="12">
        <v>0</v>
      </c>
      <c r="M350" s="10">
        <v>0</v>
      </c>
      <c r="N350" s="12">
        <v>0</v>
      </c>
      <c r="O350" s="12">
        <v>0</v>
      </c>
      <c r="P350" s="10">
        <v>0</v>
      </c>
      <c r="Q350" s="12">
        <v>0</v>
      </c>
      <c r="R350" s="12">
        <v>0</v>
      </c>
      <c r="S350" s="10">
        <v>0</v>
      </c>
      <c r="T350" s="12">
        <v>0</v>
      </c>
      <c r="U350" s="12">
        <v>0</v>
      </c>
      <c r="V350" s="10">
        <v>0</v>
      </c>
      <c r="W350" s="12">
        <v>0</v>
      </c>
      <c r="X350" s="12">
        <v>0</v>
      </c>
      <c r="Y350" s="10">
        <v>0</v>
      </c>
    </row>
    <row r="351" spans="1:25" x14ac:dyDescent="0.3">
      <c r="A351" s="9" t="s">
        <v>131</v>
      </c>
      <c r="B351" s="6">
        <v>2022</v>
      </c>
      <c r="C351" s="10">
        <v>350</v>
      </c>
      <c r="D351" s="6" t="s">
        <v>113</v>
      </c>
      <c r="E351" s="6" t="s">
        <v>63</v>
      </c>
      <c r="F351" s="6" t="s">
        <v>708</v>
      </c>
      <c r="G351" s="11" t="s">
        <v>134</v>
      </c>
      <c r="H351" s="6" t="s">
        <v>135</v>
      </c>
      <c r="I351" s="6" t="s">
        <v>135</v>
      </c>
      <c r="J351" s="6" t="s">
        <v>134</v>
      </c>
      <c r="K351" s="12">
        <v>0</v>
      </c>
      <c r="L351" s="12">
        <v>0</v>
      </c>
      <c r="M351" s="10">
        <v>0</v>
      </c>
      <c r="N351" s="12">
        <v>0</v>
      </c>
      <c r="O351" s="12">
        <v>0</v>
      </c>
      <c r="P351" s="10">
        <v>0</v>
      </c>
      <c r="Q351" s="12">
        <v>0</v>
      </c>
      <c r="R351" s="12">
        <v>0</v>
      </c>
      <c r="S351" s="10">
        <v>0</v>
      </c>
      <c r="T351" s="12">
        <v>0</v>
      </c>
      <c r="U351" s="12">
        <v>0</v>
      </c>
      <c r="V351" s="10">
        <v>0</v>
      </c>
      <c r="W351" s="12">
        <v>0</v>
      </c>
      <c r="X351" s="12">
        <v>0</v>
      </c>
      <c r="Y351" s="10">
        <v>0</v>
      </c>
    </row>
    <row r="352" spans="1:25" x14ac:dyDescent="0.3">
      <c r="A352" s="9" t="s">
        <v>131</v>
      </c>
      <c r="B352" s="6">
        <v>2022</v>
      </c>
      <c r="C352" s="10">
        <v>351</v>
      </c>
      <c r="D352" s="6" t="s">
        <v>709</v>
      </c>
      <c r="E352" s="6" t="s">
        <v>63</v>
      </c>
      <c r="F352" s="6" t="s">
        <v>134</v>
      </c>
      <c r="G352" s="13" t="s">
        <v>3266</v>
      </c>
      <c r="H352" s="6" t="s">
        <v>135</v>
      </c>
      <c r="I352" s="6" t="s">
        <v>135</v>
      </c>
      <c r="J352" s="6" t="s">
        <v>134</v>
      </c>
      <c r="K352" s="12">
        <v>0</v>
      </c>
      <c r="L352" s="12">
        <v>0</v>
      </c>
      <c r="M352" s="10">
        <v>0</v>
      </c>
      <c r="N352" s="12">
        <v>0</v>
      </c>
      <c r="O352" s="12">
        <v>0</v>
      </c>
      <c r="P352" s="10">
        <v>0</v>
      </c>
      <c r="Q352" s="12">
        <v>0</v>
      </c>
      <c r="R352" s="12">
        <v>0</v>
      </c>
      <c r="S352" s="10">
        <v>0</v>
      </c>
      <c r="T352" s="12">
        <v>0</v>
      </c>
      <c r="U352" s="12">
        <v>0</v>
      </c>
      <c r="V352" s="10">
        <v>0</v>
      </c>
      <c r="W352" s="12">
        <v>0</v>
      </c>
      <c r="X352" s="12">
        <v>0</v>
      </c>
      <c r="Y352" s="10">
        <v>0</v>
      </c>
    </row>
    <row r="353" spans="1:25" x14ac:dyDescent="0.3">
      <c r="A353" s="9" t="s">
        <v>131</v>
      </c>
      <c r="B353" s="6">
        <v>2022</v>
      </c>
      <c r="C353" s="10">
        <v>352</v>
      </c>
      <c r="D353" s="6" t="s">
        <v>710</v>
      </c>
      <c r="E353" s="6" t="s">
        <v>63</v>
      </c>
      <c r="F353" s="6" t="s">
        <v>134</v>
      </c>
      <c r="G353" s="13" t="s">
        <v>711</v>
      </c>
      <c r="H353" s="6" t="s">
        <v>135</v>
      </c>
      <c r="I353" s="6" t="s">
        <v>135</v>
      </c>
      <c r="J353" s="6" t="s">
        <v>134</v>
      </c>
      <c r="K353" s="12">
        <v>0</v>
      </c>
      <c r="L353" s="12">
        <v>0</v>
      </c>
      <c r="M353" s="10">
        <v>0</v>
      </c>
      <c r="N353" s="12">
        <v>0</v>
      </c>
      <c r="O353" s="12">
        <v>0</v>
      </c>
      <c r="P353" s="10">
        <v>0</v>
      </c>
      <c r="Q353" s="12">
        <v>0</v>
      </c>
      <c r="R353" s="12">
        <v>0</v>
      </c>
      <c r="S353" s="10">
        <v>0</v>
      </c>
      <c r="T353" s="12">
        <v>0</v>
      </c>
      <c r="U353" s="12">
        <v>0</v>
      </c>
      <c r="V353" s="10">
        <v>0</v>
      </c>
      <c r="W353" s="12">
        <v>0</v>
      </c>
      <c r="X353" s="12">
        <v>0</v>
      </c>
      <c r="Y353" s="10">
        <v>0</v>
      </c>
    </row>
    <row r="354" spans="1:25" x14ac:dyDescent="0.3">
      <c r="A354" s="9" t="s">
        <v>131</v>
      </c>
      <c r="B354" s="6">
        <v>2022</v>
      </c>
      <c r="C354" s="10">
        <v>353</v>
      </c>
      <c r="D354" s="6" t="s">
        <v>712</v>
      </c>
      <c r="E354" s="6" t="s">
        <v>63</v>
      </c>
      <c r="F354" s="6" t="s">
        <v>134</v>
      </c>
      <c r="G354" s="13" t="s">
        <v>713</v>
      </c>
      <c r="H354" s="6" t="s">
        <v>135</v>
      </c>
      <c r="I354" s="6" t="s">
        <v>135</v>
      </c>
      <c r="J354" s="6" t="s">
        <v>134</v>
      </c>
      <c r="K354" s="12">
        <v>0</v>
      </c>
      <c r="L354" s="12">
        <v>0</v>
      </c>
      <c r="M354" s="10">
        <v>0</v>
      </c>
      <c r="N354" s="12">
        <v>0</v>
      </c>
      <c r="O354" s="12">
        <v>0</v>
      </c>
      <c r="P354" s="10">
        <v>0</v>
      </c>
      <c r="Q354" s="12">
        <v>0</v>
      </c>
      <c r="R354" s="12">
        <v>0</v>
      </c>
      <c r="S354" s="10">
        <v>0</v>
      </c>
      <c r="T354" s="12">
        <v>0</v>
      </c>
      <c r="U354" s="12">
        <v>0</v>
      </c>
      <c r="V354" s="10">
        <v>0</v>
      </c>
      <c r="W354" s="12">
        <v>0</v>
      </c>
      <c r="X354" s="12">
        <v>0</v>
      </c>
      <c r="Y354" s="10">
        <v>0</v>
      </c>
    </row>
  </sheetData>
  <autoFilter ref="A1:Y1"/>
  <pageMargins left="0.75" right="0.75" top="1" bottom="1" header="0.5" footer="0.5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"/>
  <sheetViews>
    <sheetView workbookViewId="0">
      <selection activeCell="A17" sqref="A17"/>
    </sheetView>
  </sheetViews>
  <sheetFormatPr defaultRowHeight="15.6" x14ac:dyDescent="0.3"/>
  <cols>
    <col min="1" max="1" width="8.88671875" customWidth="1"/>
    <col min="2" max="2" width="19.44140625" customWidth="1"/>
    <col min="3" max="3" width="17.109375" customWidth="1"/>
    <col min="4" max="4" width="16.77734375" bestFit="1" customWidth="1"/>
    <col min="5" max="5" width="15.109375" bestFit="1" customWidth="1"/>
    <col min="6" max="8" width="15.44140625" bestFit="1" customWidth="1"/>
    <col min="9" max="9" width="18.109375" customWidth="1"/>
    <col min="10" max="10" width="15.44140625" bestFit="1" customWidth="1"/>
    <col min="11" max="11" width="14.44140625" bestFit="1" customWidth="1"/>
    <col min="12" max="12" width="16.88671875" bestFit="1" customWidth="1"/>
    <col min="13" max="13" width="13.44140625" bestFit="1" customWidth="1"/>
    <col min="14" max="14" width="9.44140625" hidden="1" customWidth="1"/>
    <col min="15" max="15" width="11.88671875" hidden="1" customWidth="1"/>
    <col min="16" max="16" width="10.88671875" hidden="1" customWidth="1"/>
    <col min="17" max="17" width="12.21875" bestFit="1" customWidth="1"/>
  </cols>
  <sheetData>
    <row r="1" spans="1:17" ht="21" x14ac:dyDescent="0.3">
      <c r="A1" s="87" t="s">
        <v>3871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</row>
    <row r="3" spans="1:17" ht="15.75" customHeight="1" x14ac:dyDescent="0.3">
      <c r="B3" s="241"/>
      <c r="C3" s="241"/>
      <c r="D3" s="241"/>
      <c r="E3" s="241"/>
      <c r="F3" s="1217" t="s">
        <v>3872</v>
      </c>
      <c r="G3" s="1218"/>
      <c r="H3" s="241"/>
      <c r="I3" s="241"/>
      <c r="N3" s="88"/>
      <c r="O3" s="88"/>
      <c r="P3" s="88"/>
    </row>
    <row r="4" spans="1:17" ht="16.5" customHeight="1" thickBot="1" x14ac:dyDescent="0.35">
      <c r="B4" s="1219" t="s">
        <v>3873</v>
      </c>
      <c r="C4" s="1219"/>
      <c r="D4" s="1219"/>
      <c r="E4" s="1219"/>
      <c r="F4" s="1219"/>
      <c r="G4" s="1219"/>
      <c r="H4" s="1219"/>
      <c r="I4" s="241"/>
    </row>
    <row r="5" spans="1:17" ht="27" thickBot="1" x14ac:dyDescent="0.35">
      <c r="B5" s="1219" t="s">
        <v>3874</v>
      </c>
      <c r="C5" s="705" t="s">
        <v>3875</v>
      </c>
      <c r="D5" s="705" t="s">
        <v>39</v>
      </c>
      <c r="E5" s="705" t="s">
        <v>40</v>
      </c>
      <c r="F5" s="705" t="s">
        <v>3876</v>
      </c>
      <c r="G5" s="705" t="s">
        <v>3877</v>
      </c>
      <c r="H5" s="705" t="s">
        <v>3878</v>
      </c>
      <c r="I5" s="706" t="s">
        <v>3879</v>
      </c>
      <c r="N5" s="89" t="s">
        <v>57</v>
      </c>
      <c r="O5" s="89" t="s">
        <v>2608</v>
      </c>
      <c r="P5" s="90" t="s">
        <v>2609</v>
      </c>
    </row>
    <row r="6" spans="1:17" ht="69" x14ac:dyDescent="0.3">
      <c r="B6" s="1219"/>
      <c r="C6" s="705" t="s">
        <v>3880</v>
      </c>
      <c r="D6" s="705" t="s">
        <v>3881</v>
      </c>
      <c r="E6" s="705" t="s">
        <v>3882</v>
      </c>
      <c r="F6" s="705" t="s">
        <v>3883</v>
      </c>
      <c r="G6" s="705" t="s">
        <v>3884</v>
      </c>
      <c r="H6" s="705" t="s">
        <v>3885</v>
      </c>
      <c r="I6" s="706" t="s">
        <v>3886</v>
      </c>
      <c r="N6" s="91"/>
      <c r="O6" s="91"/>
      <c r="P6" s="92">
        <v>1280760181.2</v>
      </c>
    </row>
    <row r="7" spans="1:17" ht="27.6" x14ac:dyDescent="0.3">
      <c r="A7" t="s">
        <v>4</v>
      </c>
      <c r="B7" s="707" t="s">
        <v>776</v>
      </c>
      <c r="C7" s="708">
        <v>45640820</v>
      </c>
      <c r="D7" s="708">
        <v>56274740</v>
      </c>
      <c r="E7" s="708">
        <v>5135581.8000000007</v>
      </c>
      <c r="F7" s="708">
        <v>2973505</v>
      </c>
      <c r="G7" s="708">
        <v>2162076.8000000003</v>
      </c>
      <c r="H7" s="709">
        <v>2973505</v>
      </c>
      <c r="I7" s="709">
        <v>2081453.4999999998</v>
      </c>
      <c r="N7" s="93"/>
      <c r="O7" s="93"/>
      <c r="P7" s="94">
        <v>648595213.22773671</v>
      </c>
      <c r="Q7" s="2"/>
    </row>
    <row r="8" spans="1:17" ht="27.6" x14ac:dyDescent="0.3">
      <c r="A8" t="s">
        <v>10</v>
      </c>
      <c r="B8" s="707" t="s">
        <v>782</v>
      </c>
      <c r="C8" s="708">
        <v>31024329</v>
      </c>
      <c r="D8" s="708">
        <v>56067176</v>
      </c>
      <c r="E8" s="708">
        <v>5606717.6000000006</v>
      </c>
      <c r="F8" s="708">
        <v>2803358.8000000003</v>
      </c>
      <c r="G8" s="708">
        <v>2803358.8000000003</v>
      </c>
      <c r="H8" s="709">
        <v>2803358.8000000003</v>
      </c>
      <c r="I8" s="709">
        <v>1962351.1600000001</v>
      </c>
      <c r="N8" s="95">
        <v>0</v>
      </c>
      <c r="O8" s="95">
        <v>0</v>
      </c>
      <c r="P8" s="94">
        <v>96467769.721386835</v>
      </c>
    </row>
    <row r="9" spans="1:17" ht="15.75" hidden="1" customHeight="1" x14ac:dyDescent="0.3">
      <c r="A9" s="1220" t="s">
        <v>2610</v>
      </c>
      <c r="B9" s="1221"/>
      <c r="C9" s="1221"/>
      <c r="D9" s="1221"/>
      <c r="E9" s="1221"/>
      <c r="F9" s="1221"/>
      <c r="G9" s="1221"/>
      <c r="H9" s="1221"/>
      <c r="I9" s="1221"/>
      <c r="J9" s="1221"/>
      <c r="K9" s="1221"/>
      <c r="L9" s="1221"/>
      <c r="M9" s="1221"/>
      <c r="N9" s="1221"/>
      <c r="O9" s="1221"/>
      <c r="P9" s="1222"/>
    </row>
    <row r="10" spans="1:17" ht="15.75" hidden="1" customHeight="1" x14ac:dyDescent="0.3">
      <c r="A10" s="1220" t="s">
        <v>2611</v>
      </c>
      <c r="B10" s="1221"/>
      <c r="C10" s="1221"/>
      <c r="D10" s="1221"/>
      <c r="E10" s="1221"/>
      <c r="F10" s="1221"/>
      <c r="G10" s="1221"/>
      <c r="H10" s="1221"/>
      <c r="I10" s="1221"/>
      <c r="J10" s="1221"/>
      <c r="K10" s="1221"/>
      <c r="L10" s="1221"/>
      <c r="M10" s="1221"/>
      <c r="N10" s="1221"/>
      <c r="O10" s="1221"/>
      <c r="P10" s="1222"/>
    </row>
    <row r="11" spans="1:17" ht="28.2" thickBot="1" x14ac:dyDescent="0.35">
      <c r="A11" t="s">
        <v>6</v>
      </c>
      <c r="B11" s="707" t="s">
        <v>778</v>
      </c>
      <c r="C11" s="710">
        <v>248374558</v>
      </c>
      <c r="D11" s="710">
        <v>354357129.71428573</v>
      </c>
      <c r="E11" s="710">
        <v>33706411.471428573</v>
      </c>
      <c r="F11" s="710">
        <v>17167856.485714287</v>
      </c>
      <c r="G11" s="710">
        <v>16538554.985714287</v>
      </c>
      <c r="H11" s="709">
        <v>17167856.485714287</v>
      </c>
      <c r="I11" s="709">
        <v>12017499.539999999</v>
      </c>
      <c r="N11" s="96">
        <v>0</v>
      </c>
      <c r="O11" s="96">
        <v>0</v>
      </c>
      <c r="P11" s="97">
        <v>96467769.721386835</v>
      </c>
    </row>
    <row r="12" spans="1:17" ht="27.6" x14ac:dyDescent="0.3">
      <c r="A12" t="s">
        <v>7</v>
      </c>
      <c r="B12" s="707" t="s">
        <v>779</v>
      </c>
      <c r="C12" s="708">
        <v>54479764</v>
      </c>
      <c r="D12" s="708">
        <v>144427137</v>
      </c>
      <c r="E12" s="708">
        <v>11836168.050000001</v>
      </c>
      <c r="F12" s="708">
        <v>7221356.8500000006</v>
      </c>
      <c r="G12" s="708">
        <v>4614811.2</v>
      </c>
      <c r="H12" s="709">
        <v>7221356.8500000006</v>
      </c>
      <c r="I12" s="709">
        <v>5054949.7949999999</v>
      </c>
    </row>
    <row r="13" spans="1:17" ht="27.6" x14ac:dyDescent="0.3">
      <c r="A13" t="s">
        <v>11</v>
      </c>
      <c r="B13" s="707" t="s">
        <v>783</v>
      </c>
      <c r="C13" s="708">
        <v>17700599</v>
      </c>
      <c r="D13" s="708">
        <v>28167945</v>
      </c>
      <c r="E13" s="708">
        <v>2816780.65</v>
      </c>
      <c r="F13" s="708">
        <v>1408397.25</v>
      </c>
      <c r="G13" s="708">
        <v>1408383.4</v>
      </c>
      <c r="H13" s="709">
        <v>1408397.25</v>
      </c>
      <c r="I13" s="709">
        <v>985878.07499999995</v>
      </c>
    </row>
    <row r="14" spans="1:17" ht="27.6" x14ac:dyDescent="0.3">
      <c r="A14" t="s">
        <v>8</v>
      </c>
      <c r="B14" s="707" t="s">
        <v>780</v>
      </c>
      <c r="C14" s="708">
        <v>1788521103</v>
      </c>
      <c r="D14" s="708">
        <v>2439043328.333333</v>
      </c>
      <c r="E14" s="708">
        <v>190467554.28333336</v>
      </c>
      <c r="F14" s="708">
        <v>115945092.54166669</v>
      </c>
      <c r="G14" s="708">
        <v>74522461.741666675</v>
      </c>
      <c r="H14" s="709">
        <v>115945092.54166669</v>
      </c>
      <c r="I14" s="709">
        <v>81161564.779166669</v>
      </c>
    </row>
    <row r="15" spans="1:17" x14ac:dyDescent="0.3">
      <c r="A15" t="s">
        <v>784</v>
      </c>
      <c r="B15" s="707" t="s">
        <v>784</v>
      </c>
      <c r="C15" s="708"/>
      <c r="D15" s="708">
        <v>1985779</v>
      </c>
      <c r="E15" s="708">
        <v>198577.95</v>
      </c>
      <c r="F15" s="708">
        <v>99288.950000000012</v>
      </c>
      <c r="G15" s="708">
        <v>99289</v>
      </c>
      <c r="H15" s="709">
        <v>99288.950000000012</v>
      </c>
      <c r="I15" s="709">
        <v>69502.264999999999</v>
      </c>
    </row>
    <row r="16" spans="1:17" x14ac:dyDescent="0.3">
      <c r="B16" s="707" t="s">
        <v>3887</v>
      </c>
      <c r="C16" s="708"/>
      <c r="D16" s="708">
        <v>55976000</v>
      </c>
      <c r="E16" s="708">
        <v>3782600</v>
      </c>
      <c r="F16" s="708">
        <v>2798800</v>
      </c>
      <c r="G16" s="708">
        <v>983800</v>
      </c>
      <c r="H16" s="709">
        <v>2798800</v>
      </c>
      <c r="I16" s="709">
        <v>1959159.9999999998</v>
      </c>
    </row>
    <row r="17" spans="2:9" ht="16.5" customHeight="1" x14ac:dyDescent="0.3">
      <c r="B17" s="711" t="s">
        <v>2602</v>
      </c>
      <c r="C17" s="712">
        <v>3438693835.2399998</v>
      </c>
      <c r="D17" s="712">
        <v>4719672353.3152857</v>
      </c>
      <c r="E17" s="712">
        <v>377867242.52419525</v>
      </c>
      <c r="F17" s="712">
        <v>227432547.54681429</v>
      </c>
      <c r="G17" s="712">
        <v>150434694.97738099</v>
      </c>
      <c r="H17" s="712">
        <v>250063284.8218143</v>
      </c>
      <c r="I17" s="713">
        <v>175044299.37527001</v>
      </c>
    </row>
  </sheetData>
  <mergeCells count="5">
    <mergeCell ref="F3:G3"/>
    <mergeCell ref="B4:H4"/>
    <mergeCell ref="B5:B6"/>
    <mergeCell ref="A9:P9"/>
    <mergeCell ref="A10:P10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3:E71"/>
  <sheetViews>
    <sheetView workbookViewId="0">
      <selection activeCell="C11" sqref="C11"/>
    </sheetView>
  </sheetViews>
  <sheetFormatPr defaultRowHeight="15.6" x14ac:dyDescent="0.3"/>
  <cols>
    <col min="1" max="1" width="37.44140625" customWidth="1"/>
    <col min="2" max="2" width="61.21875" customWidth="1"/>
    <col min="3" max="3" width="16.77734375" style="2" customWidth="1"/>
    <col min="4" max="4" width="37.44140625" style="2" customWidth="1"/>
    <col min="5" max="5" width="61.21875" style="2" customWidth="1"/>
    <col min="6" max="6" width="16.77734375" bestFit="1" customWidth="1"/>
    <col min="7" max="7" width="12.21875" bestFit="1" customWidth="1"/>
  </cols>
  <sheetData>
    <row r="3" spans="1:5" x14ac:dyDescent="0.3">
      <c r="A3" t="s">
        <v>2674</v>
      </c>
      <c r="B3" t="s">
        <v>2675</v>
      </c>
      <c r="C3" s="2" t="s">
        <v>2614</v>
      </c>
      <c r="D3"/>
      <c r="E3"/>
    </row>
    <row r="4" spans="1:5" x14ac:dyDescent="0.3">
      <c r="A4" s="2">
        <v>3789043122.7227845</v>
      </c>
      <c r="B4" s="2">
        <v>3226088208.2219095</v>
      </c>
      <c r="C4" s="2">
        <v>1540600387.893194</v>
      </c>
      <c r="D4"/>
      <c r="E4"/>
    </row>
    <row r="5" spans="1:5" x14ac:dyDescent="0.3">
      <c r="C5"/>
      <c r="D5"/>
      <c r="E5"/>
    </row>
    <row r="6" spans="1:5" x14ac:dyDescent="0.3">
      <c r="C6"/>
      <c r="D6"/>
      <c r="E6"/>
    </row>
    <row r="7" spans="1:5" x14ac:dyDescent="0.3">
      <c r="C7"/>
      <c r="D7"/>
      <c r="E7"/>
    </row>
    <row r="8" spans="1:5" x14ac:dyDescent="0.3">
      <c r="C8"/>
      <c r="D8"/>
      <c r="E8"/>
    </row>
    <row r="9" spans="1:5" x14ac:dyDescent="0.3">
      <c r="C9"/>
      <c r="D9"/>
      <c r="E9"/>
    </row>
    <row r="10" spans="1:5" x14ac:dyDescent="0.3">
      <c r="C10"/>
      <c r="D10"/>
      <c r="E10"/>
    </row>
    <row r="11" spans="1:5" x14ac:dyDescent="0.3">
      <c r="C11"/>
      <c r="D11"/>
      <c r="E11"/>
    </row>
    <row r="12" spans="1:5" x14ac:dyDescent="0.3">
      <c r="C12"/>
      <c r="D12"/>
      <c r="E12"/>
    </row>
    <row r="13" spans="1:5" x14ac:dyDescent="0.3">
      <c r="C13"/>
      <c r="D13"/>
      <c r="E13"/>
    </row>
    <row r="14" spans="1:5" x14ac:dyDescent="0.3">
      <c r="C14"/>
      <c r="D14"/>
      <c r="E14"/>
    </row>
    <row r="15" spans="1:5" x14ac:dyDescent="0.3">
      <c r="C15"/>
      <c r="D15"/>
      <c r="E15"/>
    </row>
    <row r="16" spans="1:5" x14ac:dyDescent="0.3">
      <c r="C16"/>
      <c r="D16"/>
      <c r="E16"/>
    </row>
    <row r="17" customFormat="1" x14ac:dyDescent="0.3"/>
    <row r="18" customFormat="1" x14ac:dyDescent="0.3"/>
    <row r="19" customFormat="1" x14ac:dyDescent="0.3"/>
    <row r="20" customFormat="1" x14ac:dyDescent="0.3"/>
    <row r="21" customFormat="1" x14ac:dyDescent="0.3"/>
    <row r="22" customFormat="1" x14ac:dyDescent="0.3"/>
    <row r="23" customFormat="1" x14ac:dyDescent="0.3"/>
    <row r="24" customFormat="1" x14ac:dyDescent="0.3"/>
    <row r="25" customFormat="1" x14ac:dyDescent="0.3"/>
    <row r="26" customFormat="1" x14ac:dyDescent="0.3"/>
    <row r="27" customFormat="1" x14ac:dyDescent="0.3"/>
    <row r="28" customFormat="1" x14ac:dyDescent="0.3"/>
    <row r="29" customFormat="1" x14ac:dyDescent="0.3"/>
    <row r="30" customFormat="1" x14ac:dyDescent="0.3"/>
    <row r="31" customFormat="1" x14ac:dyDescent="0.3"/>
    <row r="32" customFormat="1" x14ac:dyDescent="0.3"/>
    <row r="33" customFormat="1" x14ac:dyDescent="0.3"/>
    <row r="34" customFormat="1" x14ac:dyDescent="0.3"/>
    <row r="35" customFormat="1" x14ac:dyDescent="0.3"/>
    <row r="36" customFormat="1" x14ac:dyDescent="0.3"/>
    <row r="37" customFormat="1" x14ac:dyDescent="0.3"/>
    <row r="38" customFormat="1" x14ac:dyDescent="0.3"/>
    <row r="39" customFormat="1" x14ac:dyDescent="0.3"/>
    <row r="40" customFormat="1" x14ac:dyDescent="0.3"/>
    <row r="41" customFormat="1" x14ac:dyDescent="0.3"/>
    <row r="42" customFormat="1" x14ac:dyDescent="0.3"/>
    <row r="43" customFormat="1" x14ac:dyDescent="0.3"/>
    <row r="44" customFormat="1" x14ac:dyDescent="0.3"/>
    <row r="45" customFormat="1" x14ac:dyDescent="0.3"/>
    <row r="46" customFormat="1" x14ac:dyDescent="0.3"/>
    <row r="47" customFormat="1" x14ac:dyDescent="0.3"/>
    <row r="48" customFormat="1" x14ac:dyDescent="0.3"/>
    <row r="49" spans="3:5" x14ac:dyDescent="0.3">
      <c r="C49"/>
      <c r="D49"/>
      <c r="E49"/>
    </row>
    <row r="50" spans="3:5" x14ac:dyDescent="0.3">
      <c r="C50"/>
      <c r="D50"/>
      <c r="E50"/>
    </row>
    <row r="51" spans="3:5" x14ac:dyDescent="0.3">
      <c r="C51"/>
      <c r="D51"/>
      <c r="E51"/>
    </row>
    <row r="52" spans="3:5" x14ac:dyDescent="0.3">
      <c r="C52"/>
      <c r="D52"/>
      <c r="E52"/>
    </row>
    <row r="53" spans="3:5" x14ac:dyDescent="0.3">
      <c r="C53"/>
      <c r="D53"/>
      <c r="E53"/>
    </row>
    <row r="54" spans="3:5" x14ac:dyDescent="0.3">
      <c r="C54"/>
      <c r="D54"/>
    </row>
    <row r="55" spans="3:5" x14ac:dyDescent="0.3">
      <c r="C55"/>
      <c r="D55"/>
    </row>
    <row r="56" spans="3:5" x14ac:dyDescent="0.3">
      <c r="C56"/>
      <c r="D56"/>
    </row>
    <row r="57" spans="3:5" x14ac:dyDescent="0.3">
      <c r="C57"/>
      <c r="D57"/>
    </row>
    <row r="58" spans="3:5" x14ac:dyDescent="0.3">
      <c r="C58"/>
      <c r="D58"/>
    </row>
    <row r="59" spans="3:5" x14ac:dyDescent="0.3">
      <c r="C59"/>
      <c r="D59"/>
    </row>
    <row r="60" spans="3:5" x14ac:dyDescent="0.3">
      <c r="C60"/>
      <c r="D60"/>
    </row>
    <row r="61" spans="3:5" x14ac:dyDescent="0.3">
      <c r="C61"/>
      <c r="D61"/>
    </row>
    <row r="62" spans="3:5" x14ac:dyDescent="0.3">
      <c r="C62"/>
      <c r="D62"/>
    </row>
    <row r="63" spans="3:5" x14ac:dyDescent="0.3">
      <c r="C63"/>
      <c r="D63"/>
    </row>
    <row r="64" spans="3:5" x14ac:dyDescent="0.3">
      <c r="C64"/>
      <c r="D64"/>
    </row>
    <row r="65" spans="3:4" x14ac:dyDescent="0.3">
      <c r="C65"/>
      <c r="D65"/>
    </row>
    <row r="66" spans="3:4" x14ac:dyDescent="0.3">
      <c r="C66"/>
      <c r="D66"/>
    </row>
    <row r="67" spans="3:4" x14ac:dyDescent="0.3">
      <c r="C67"/>
      <c r="D67"/>
    </row>
    <row r="68" spans="3:4" x14ac:dyDescent="0.3">
      <c r="C68"/>
      <c r="D68"/>
    </row>
    <row r="69" spans="3:4" x14ac:dyDescent="0.3">
      <c r="C69"/>
      <c r="D69"/>
    </row>
    <row r="70" spans="3:4" x14ac:dyDescent="0.3">
      <c r="C70"/>
      <c r="D70"/>
    </row>
    <row r="71" spans="3:4" x14ac:dyDescent="0.3">
      <c r="C71"/>
      <c r="D71"/>
    </row>
  </sheetData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7"/>
  <sheetViews>
    <sheetView zoomScale="80" zoomScaleNormal="80" workbookViewId="0">
      <selection sqref="A1:M1048576"/>
    </sheetView>
  </sheetViews>
  <sheetFormatPr defaultColWidth="21.88671875" defaultRowHeight="15.6" x14ac:dyDescent="0.3"/>
  <cols>
    <col min="1" max="1" width="15.44140625" customWidth="1"/>
    <col min="3" max="3" width="22.88671875" customWidth="1"/>
    <col min="4" max="4" width="17.44140625" customWidth="1"/>
    <col min="5" max="5" width="14.88671875" bestFit="1" customWidth="1"/>
    <col min="14" max="16384" width="21.88671875" style="66"/>
  </cols>
  <sheetData>
    <row r="1" spans="1:5" ht="18" x14ac:dyDescent="0.35">
      <c r="A1" s="25" t="s">
        <v>3806</v>
      </c>
    </row>
    <row r="2" spans="1:5" ht="18" x14ac:dyDescent="0.35">
      <c r="A2" s="25"/>
    </row>
    <row r="3" spans="1:5" ht="18" x14ac:dyDescent="0.35">
      <c r="A3" s="25" t="s">
        <v>3807</v>
      </c>
    </row>
    <row r="4" spans="1:5" x14ac:dyDescent="0.3">
      <c r="A4" s="408"/>
    </row>
    <row r="5" spans="1:5" ht="28.8" x14ac:dyDescent="0.3">
      <c r="A5" s="363" t="s">
        <v>3437</v>
      </c>
      <c r="B5" s="363" t="s">
        <v>3438</v>
      </c>
      <c r="C5" s="363" t="s">
        <v>3297</v>
      </c>
      <c r="D5" s="363" t="s">
        <v>3439</v>
      </c>
      <c r="E5" s="363" t="s">
        <v>3808</v>
      </c>
    </row>
    <row r="6" spans="1:5" x14ac:dyDescent="0.3">
      <c r="A6" s="68" t="s">
        <v>914</v>
      </c>
      <c r="B6" s="68" t="s">
        <v>915</v>
      </c>
      <c r="C6" s="68" t="s">
        <v>71</v>
      </c>
      <c r="D6" s="68" t="s">
        <v>74</v>
      </c>
      <c r="E6" s="633">
        <v>9125847.9490909074</v>
      </c>
    </row>
    <row r="7" spans="1:5" x14ac:dyDescent="0.3">
      <c r="A7" s="68" t="s">
        <v>919</v>
      </c>
      <c r="B7" s="68" t="s">
        <v>920</v>
      </c>
      <c r="C7" s="68" t="s">
        <v>905</v>
      </c>
      <c r="D7" s="68" t="s">
        <v>904</v>
      </c>
      <c r="E7" s="633">
        <v>6721203.8399999999</v>
      </c>
    </row>
    <row r="8" spans="1:5" x14ac:dyDescent="0.3">
      <c r="A8" s="68" t="s">
        <v>928</v>
      </c>
      <c r="B8" s="68" t="s">
        <v>932</v>
      </c>
      <c r="C8" s="68" t="s">
        <v>900</v>
      </c>
      <c r="D8" s="68" t="s">
        <v>899</v>
      </c>
      <c r="E8" s="633">
        <v>24468714.283636361</v>
      </c>
    </row>
    <row r="9" spans="1:5" x14ac:dyDescent="0.3">
      <c r="A9" s="68" t="s">
        <v>938</v>
      </c>
      <c r="B9" s="68" t="s">
        <v>940</v>
      </c>
      <c r="C9" s="68" t="s">
        <v>895</v>
      </c>
      <c r="D9" s="68" t="s">
        <v>894</v>
      </c>
      <c r="E9" s="633">
        <v>6818184.959999999</v>
      </c>
    </row>
    <row r="10" spans="1:5" ht="12.75" customHeight="1" x14ac:dyDescent="0.3">
      <c r="A10" s="68" t="s">
        <v>948</v>
      </c>
      <c r="B10" s="68" t="s">
        <v>949</v>
      </c>
      <c r="C10" s="68" t="s">
        <v>891</v>
      </c>
      <c r="D10" s="68" t="s">
        <v>890</v>
      </c>
      <c r="E10" s="633">
        <v>2485548</v>
      </c>
    </row>
    <row r="11" spans="1:5" ht="12.75" customHeight="1" x14ac:dyDescent="0.3">
      <c r="A11" s="68" t="s">
        <v>958</v>
      </c>
      <c r="B11" s="68" t="s">
        <v>959</v>
      </c>
      <c r="C11" s="68" t="s">
        <v>887</v>
      </c>
      <c r="D11" s="68" t="s">
        <v>886</v>
      </c>
      <c r="E11" s="633">
        <v>5536192.9745454537</v>
      </c>
    </row>
    <row r="12" spans="1:5" x14ac:dyDescent="0.3">
      <c r="A12" s="68" t="s">
        <v>966</v>
      </c>
      <c r="B12" s="68" t="s">
        <v>967</v>
      </c>
      <c r="C12" s="68" t="s">
        <v>883</v>
      </c>
      <c r="D12" s="68" t="s">
        <v>882</v>
      </c>
      <c r="E12" s="633">
        <v>5401842.96</v>
      </c>
    </row>
    <row r="13" spans="1:5" x14ac:dyDescent="0.3">
      <c r="A13" s="68" t="s">
        <v>975</v>
      </c>
      <c r="B13" s="68" t="s">
        <v>976</v>
      </c>
      <c r="C13" s="68" t="s">
        <v>879</v>
      </c>
      <c r="D13" s="68" t="s">
        <v>878</v>
      </c>
      <c r="E13" s="633">
        <v>3539385.5890909089</v>
      </c>
    </row>
    <row r="14" spans="1:5" x14ac:dyDescent="0.3">
      <c r="A14" s="68" t="s">
        <v>3440</v>
      </c>
      <c r="B14" s="68" t="s">
        <v>3441</v>
      </c>
      <c r="C14" s="68" t="s">
        <v>875</v>
      </c>
      <c r="D14" s="68" t="s">
        <v>874</v>
      </c>
      <c r="E14" s="633">
        <v>922080</v>
      </c>
    </row>
    <row r="15" spans="1:5" ht="15.75" customHeight="1" x14ac:dyDescent="0.3">
      <c r="A15" s="634" t="s">
        <v>994</v>
      </c>
      <c r="B15" s="68" t="s">
        <v>995</v>
      </c>
      <c r="C15" s="68" t="s">
        <v>845</v>
      </c>
      <c r="D15" s="68" t="s">
        <v>844</v>
      </c>
      <c r="E15" s="633">
        <v>1282776</v>
      </c>
    </row>
    <row r="16" spans="1:5" ht="15.75" customHeight="1" x14ac:dyDescent="0.3">
      <c r="A16" s="634" t="s">
        <v>1023</v>
      </c>
      <c r="B16" s="68" t="s">
        <v>3442</v>
      </c>
      <c r="C16" s="68" t="s">
        <v>851</v>
      </c>
      <c r="D16" s="68" t="s">
        <v>848</v>
      </c>
      <c r="E16" s="633">
        <v>5113088.9236363629</v>
      </c>
    </row>
    <row r="17" spans="1:6" x14ac:dyDescent="0.3">
      <c r="A17" s="634" t="s">
        <v>1023</v>
      </c>
      <c r="B17" s="68" t="s">
        <v>3442</v>
      </c>
      <c r="C17" s="68" t="s">
        <v>849</v>
      </c>
      <c r="D17" s="68" t="s">
        <v>848</v>
      </c>
      <c r="E17" s="633">
        <v>831228</v>
      </c>
    </row>
    <row r="18" spans="1:6" x14ac:dyDescent="0.3">
      <c r="A18" s="634" t="s">
        <v>3424</v>
      </c>
      <c r="B18" s="68" t="s">
        <v>3443</v>
      </c>
      <c r="C18" s="68" t="s">
        <v>841</v>
      </c>
      <c r="D18" s="68" t="s">
        <v>840</v>
      </c>
      <c r="E18" s="633">
        <v>2446224</v>
      </c>
    </row>
    <row r="19" spans="1:6" x14ac:dyDescent="0.3">
      <c r="A19" s="634" t="s">
        <v>1070</v>
      </c>
      <c r="B19" s="68" t="s">
        <v>1072</v>
      </c>
      <c r="C19" s="68" t="s">
        <v>1074</v>
      </c>
      <c r="D19" s="68" t="s">
        <v>3118</v>
      </c>
      <c r="E19" s="633">
        <v>555960</v>
      </c>
    </row>
    <row r="20" spans="1:6" x14ac:dyDescent="0.3">
      <c r="A20" s="634" t="s">
        <v>1077</v>
      </c>
      <c r="B20" s="68" t="s">
        <v>1078</v>
      </c>
      <c r="C20" s="68" t="s">
        <v>863</v>
      </c>
      <c r="D20" s="68" t="s">
        <v>862</v>
      </c>
      <c r="E20" s="633">
        <v>37535580.229090907</v>
      </c>
    </row>
    <row r="21" spans="1:6" ht="15.75" customHeight="1" x14ac:dyDescent="0.3">
      <c r="A21" s="634" t="s">
        <v>1077</v>
      </c>
      <c r="B21" s="68" t="s">
        <v>1079</v>
      </c>
      <c r="C21" s="68" t="s">
        <v>859</v>
      </c>
      <c r="D21" s="68" t="s">
        <v>858</v>
      </c>
      <c r="E21" s="633">
        <v>4309374.163636364</v>
      </c>
    </row>
    <row r="22" spans="1:6" ht="15.75" customHeight="1" x14ac:dyDescent="0.3">
      <c r="A22" s="634" t="s">
        <v>1081</v>
      </c>
      <c r="B22" s="68" t="s">
        <v>1082</v>
      </c>
      <c r="C22" s="68" t="s">
        <v>855</v>
      </c>
      <c r="D22" s="68" t="s">
        <v>854</v>
      </c>
      <c r="E22" s="633">
        <v>774276</v>
      </c>
    </row>
    <row r="23" spans="1:6" x14ac:dyDescent="0.3">
      <c r="A23" s="634" t="s">
        <v>3809</v>
      </c>
      <c r="B23" s="21"/>
      <c r="C23" s="21"/>
      <c r="D23" s="21"/>
      <c r="E23" s="635">
        <v>18432492.127272725</v>
      </c>
    </row>
    <row r="24" spans="1:6" x14ac:dyDescent="0.3">
      <c r="E24" s="636">
        <v>136300000</v>
      </c>
    </row>
    <row r="26" spans="1:6" x14ac:dyDescent="0.3">
      <c r="A26" s="637" t="s">
        <v>3810</v>
      </c>
    </row>
    <row r="29" spans="1:6" ht="18" x14ac:dyDescent="0.35">
      <c r="A29" s="25" t="s">
        <v>3811</v>
      </c>
    </row>
    <row r="30" spans="1:6" ht="15.75" customHeight="1" x14ac:dyDescent="0.3">
      <c r="D30" s="342"/>
      <c r="E30" s="1084" t="s">
        <v>3435</v>
      </c>
      <c r="F30" s="1085"/>
    </row>
    <row r="31" spans="1:6" ht="15.75" customHeight="1" x14ac:dyDescent="0.3">
      <c r="A31" s="343" t="s">
        <v>912</v>
      </c>
      <c r="B31" s="343" t="s">
        <v>911</v>
      </c>
      <c r="C31" s="343" t="s">
        <v>910</v>
      </c>
      <c r="D31" s="344" t="s">
        <v>3808</v>
      </c>
      <c r="E31" s="344" t="s">
        <v>909</v>
      </c>
      <c r="F31" s="344" t="s">
        <v>908</v>
      </c>
    </row>
    <row r="32" spans="1:6" x14ac:dyDescent="0.3">
      <c r="A32" s="345" t="s">
        <v>71</v>
      </c>
      <c r="B32" s="346" t="s">
        <v>74</v>
      </c>
      <c r="C32" s="66" t="s">
        <v>907</v>
      </c>
      <c r="D32" s="347">
        <v>257299.00373470073</v>
      </c>
      <c r="E32" s="348" t="s">
        <v>726</v>
      </c>
      <c r="F32" s="349">
        <v>20</v>
      </c>
    </row>
    <row r="33" spans="1:6" x14ac:dyDescent="0.3">
      <c r="A33" s="350" t="s">
        <v>71</v>
      </c>
      <c r="B33" s="351" t="s">
        <v>74</v>
      </c>
      <c r="C33" s="349" t="s">
        <v>907</v>
      </c>
      <c r="D33" s="347">
        <v>3439842.6332627251</v>
      </c>
      <c r="E33" s="348" t="s">
        <v>726</v>
      </c>
      <c r="F33" s="349">
        <v>20</v>
      </c>
    </row>
    <row r="34" spans="1:6" x14ac:dyDescent="0.3">
      <c r="A34" s="352" t="s">
        <v>906</v>
      </c>
      <c r="B34" s="353"/>
      <c r="C34" s="352"/>
      <c r="D34" s="354">
        <v>3697141.636997425</v>
      </c>
      <c r="E34" s="348"/>
      <c r="F34" s="349"/>
    </row>
    <row r="35" spans="1:6" x14ac:dyDescent="0.3">
      <c r="A35" s="350" t="s">
        <v>905</v>
      </c>
      <c r="B35" s="351" t="s">
        <v>904</v>
      </c>
      <c r="C35" s="349" t="s">
        <v>903</v>
      </c>
      <c r="D35" s="347">
        <v>82703.251200439525</v>
      </c>
      <c r="E35" s="348" t="s">
        <v>726</v>
      </c>
      <c r="F35" s="349">
        <v>20</v>
      </c>
    </row>
    <row r="36" spans="1:6" x14ac:dyDescent="0.3">
      <c r="A36" s="350" t="s">
        <v>905</v>
      </c>
      <c r="B36" s="351" t="s">
        <v>904</v>
      </c>
      <c r="C36" s="349" t="s">
        <v>903</v>
      </c>
      <c r="D36" s="347">
        <v>165406.50240087905</v>
      </c>
      <c r="E36" s="348" t="s">
        <v>726</v>
      </c>
      <c r="F36" s="349">
        <v>20</v>
      </c>
    </row>
    <row r="37" spans="1:6" x14ac:dyDescent="0.3">
      <c r="A37" s="350" t="s">
        <v>905</v>
      </c>
      <c r="B37" s="351" t="s">
        <v>904</v>
      </c>
      <c r="C37" s="349" t="s">
        <v>903</v>
      </c>
      <c r="D37" s="347">
        <v>2740433.4901941195</v>
      </c>
      <c r="E37" s="348" t="s">
        <v>726</v>
      </c>
      <c r="F37" s="349">
        <v>20</v>
      </c>
    </row>
    <row r="38" spans="1:6" x14ac:dyDescent="0.3">
      <c r="A38" s="352" t="s">
        <v>902</v>
      </c>
      <c r="B38" s="353"/>
      <c r="C38" s="352"/>
      <c r="D38" s="354">
        <v>2988543.2437954377</v>
      </c>
      <c r="E38" s="348"/>
      <c r="F38" s="349"/>
    </row>
    <row r="39" spans="1:6" x14ac:dyDescent="0.3">
      <c r="A39" s="350" t="s">
        <v>900</v>
      </c>
      <c r="B39" s="351" t="s">
        <v>899</v>
      </c>
      <c r="C39" s="349" t="s">
        <v>898</v>
      </c>
      <c r="D39" s="347">
        <v>163874.96071198201</v>
      </c>
      <c r="E39" s="348" t="s">
        <v>726</v>
      </c>
      <c r="F39" s="349">
        <v>20</v>
      </c>
    </row>
    <row r="40" spans="1:6" x14ac:dyDescent="0.3">
      <c r="A40" s="350" t="s">
        <v>900</v>
      </c>
      <c r="B40" s="351" t="s">
        <v>899</v>
      </c>
      <c r="C40" s="349" t="s">
        <v>898</v>
      </c>
      <c r="D40" s="347">
        <v>12748706.172547752</v>
      </c>
      <c r="E40" s="348" t="s">
        <v>726</v>
      </c>
      <c r="F40" s="349">
        <v>20</v>
      </c>
    </row>
    <row r="41" spans="1:6" x14ac:dyDescent="0.3">
      <c r="A41" s="352" t="s">
        <v>897</v>
      </c>
      <c r="B41" s="353"/>
      <c r="C41" s="352"/>
      <c r="D41" s="354">
        <v>12912581.133259734</v>
      </c>
      <c r="E41" s="348"/>
      <c r="F41" s="349"/>
    </row>
    <row r="42" spans="1:6" x14ac:dyDescent="0.3">
      <c r="A42" s="350" t="s">
        <v>895</v>
      </c>
      <c r="B42" s="351" t="s">
        <v>894</v>
      </c>
      <c r="C42" s="349" t="s">
        <v>893</v>
      </c>
      <c r="D42" s="347">
        <v>2003256.5290773127</v>
      </c>
      <c r="E42" s="348" t="s">
        <v>726</v>
      </c>
      <c r="F42" s="349">
        <v>20</v>
      </c>
    </row>
    <row r="43" spans="1:6" x14ac:dyDescent="0.3">
      <c r="A43" s="352" t="s">
        <v>892</v>
      </c>
      <c r="B43" s="353"/>
      <c r="C43" s="352"/>
      <c r="D43" s="354">
        <v>2003256.5290773127</v>
      </c>
      <c r="E43" s="348"/>
      <c r="F43" s="349"/>
    </row>
    <row r="44" spans="1:6" x14ac:dyDescent="0.3">
      <c r="A44" s="350" t="s">
        <v>891</v>
      </c>
      <c r="B44" s="351" t="s">
        <v>890</v>
      </c>
      <c r="C44" s="349" t="s">
        <v>889</v>
      </c>
      <c r="D44" s="347">
        <v>762707.76107072004</v>
      </c>
      <c r="E44" s="348" t="s">
        <v>726</v>
      </c>
      <c r="F44" s="349">
        <v>20</v>
      </c>
    </row>
    <row r="45" spans="1:6" x14ac:dyDescent="0.3">
      <c r="A45" s="352" t="s">
        <v>888</v>
      </c>
      <c r="B45" s="353"/>
      <c r="C45" s="352"/>
      <c r="D45" s="354">
        <v>762707.76107072004</v>
      </c>
      <c r="E45" s="348"/>
      <c r="F45" s="349"/>
    </row>
    <row r="46" spans="1:6" x14ac:dyDescent="0.3">
      <c r="A46" s="350" t="s">
        <v>887</v>
      </c>
      <c r="B46" s="351" t="s">
        <v>886</v>
      </c>
      <c r="C46" s="349" t="s">
        <v>885</v>
      </c>
      <c r="D46" s="347">
        <v>1960373.3617881958</v>
      </c>
      <c r="E46" s="348" t="s">
        <v>726</v>
      </c>
      <c r="F46" s="349">
        <v>20</v>
      </c>
    </row>
    <row r="47" spans="1:6" x14ac:dyDescent="0.3">
      <c r="A47" s="352" t="s">
        <v>884</v>
      </c>
      <c r="B47" s="353"/>
      <c r="C47" s="352"/>
      <c r="D47" s="354">
        <v>1960373.3617881958</v>
      </c>
      <c r="E47" s="348"/>
      <c r="F47" s="349"/>
    </row>
    <row r="48" spans="1:6" x14ac:dyDescent="0.3">
      <c r="A48" s="350" t="s">
        <v>883</v>
      </c>
      <c r="B48" s="351" t="s">
        <v>882</v>
      </c>
      <c r="C48" s="349" t="s">
        <v>881</v>
      </c>
      <c r="D48" s="347">
        <v>160811.87733418794</v>
      </c>
      <c r="E48" s="348" t="s">
        <v>726</v>
      </c>
      <c r="F48" s="349">
        <v>20</v>
      </c>
    </row>
    <row r="49" spans="1:13" x14ac:dyDescent="0.3">
      <c r="A49" s="350" t="s">
        <v>883</v>
      </c>
      <c r="B49" s="351" t="s">
        <v>882</v>
      </c>
      <c r="C49" s="349" t="s">
        <v>881</v>
      </c>
      <c r="D49" s="347">
        <v>1770462.1923649646</v>
      </c>
      <c r="E49" s="348" t="s">
        <v>726</v>
      </c>
      <c r="F49" s="349">
        <v>20</v>
      </c>
    </row>
    <row r="50" spans="1:13" x14ac:dyDescent="0.3">
      <c r="A50" s="352" t="s">
        <v>880</v>
      </c>
      <c r="B50" s="353"/>
      <c r="C50" s="352"/>
      <c r="D50" s="354">
        <v>1931274.0696991526</v>
      </c>
      <c r="E50" s="348"/>
      <c r="F50" s="349"/>
    </row>
    <row r="51" spans="1:13" x14ac:dyDescent="0.3">
      <c r="A51" s="345" t="s">
        <v>879</v>
      </c>
      <c r="B51" s="346" t="s">
        <v>878</v>
      </c>
      <c r="C51" s="66" t="s">
        <v>877</v>
      </c>
      <c r="D51" s="347">
        <v>452570.56906907173</v>
      </c>
      <c r="E51" s="355" t="s">
        <v>726</v>
      </c>
      <c r="F51" s="356">
        <v>20</v>
      </c>
    </row>
    <row r="52" spans="1:13" x14ac:dyDescent="0.3">
      <c r="A52" s="350" t="s">
        <v>879</v>
      </c>
      <c r="B52" s="351" t="s">
        <v>878</v>
      </c>
      <c r="C52" s="349" t="s">
        <v>877</v>
      </c>
      <c r="D52" s="347">
        <v>1363072.1031183552</v>
      </c>
      <c r="E52" s="348" t="s">
        <v>726</v>
      </c>
      <c r="F52" s="349">
        <v>20</v>
      </c>
    </row>
    <row r="53" spans="1:13" x14ac:dyDescent="0.3">
      <c r="A53" s="352" t="s">
        <v>876</v>
      </c>
      <c r="B53" s="353"/>
      <c r="C53" s="352"/>
      <c r="D53" s="354">
        <v>1815642.6721874268</v>
      </c>
      <c r="E53" s="348"/>
      <c r="F53" s="349"/>
    </row>
    <row r="54" spans="1:13" x14ac:dyDescent="0.3">
      <c r="A54" s="350" t="s">
        <v>871</v>
      </c>
      <c r="B54" s="351" t="s">
        <v>870</v>
      </c>
      <c r="C54" s="349" t="s">
        <v>869</v>
      </c>
      <c r="D54" s="347">
        <v>382885.42222425697</v>
      </c>
      <c r="E54" s="348" t="s">
        <v>838</v>
      </c>
      <c r="F54" s="349">
        <v>0</v>
      </c>
    </row>
    <row r="55" spans="1:13" x14ac:dyDescent="0.3">
      <c r="A55" s="352" t="s">
        <v>868</v>
      </c>
      <c r="B55" s="353"/>
      <c r="C55" s="352"/>
      <c r="D55" s="354">
        <v>382885.42222425697</v>
      </c>
      <c r="E55" s="348"/>
      <c r="F55" s="349"/>
    </row>
    <row r="56" spans="1:13" x14ac:dyDescent="0.3">
      <c r="A56" s="345" t="s">
        <v>1074</v>
      </c>
      <c r="B56" s="358" t="s">
        <v>3118</v>
      </c>
      <c r="C56" s="66" t="s">
        <v>1073</v>
      </c>
      <c r="D56" s="347">
        <v>171532.66915646716</v>
      </c>
      <c r="E56" s="348" t="s">
        <v>838</v>
      </c>
      <c r="F56" s="349">
        <v>0</v>
      </c>
    </row>
    <row r="57" spans="1:13" x14ac:dyDescent="0.3">
      <c r="A57" s="352"/>
      <c r="B57" s="353"/>
      <c r="C57" s="352"/>
      <c r="D57" s="354">
        <v>171532.66915646716</v>
      </c>
      <c r="E57" s="348"/>
      <c r="F57" s="349"/>
    </row>
    <row r="58" spans="1:13" x14ac:dyDescent="0.3">
      <c r="A58" s="350" t="s">
        <v>867</v>
      </c>
      <c r="B58" s="351" t="s">
        <v>866</v>
      </c>
      <c r="C58" s="349" t="s">
        <v>865</v>
      </c>
      <c r="D58" s="347">
        <v>784149.34471527836</v>
      </c>
      <c r="E58" s="348" t="s">
        <v>838</v>
      </c>
      <c r="F58" s="349">
        <v>0</v>
      </c>
    </row>
    <row r="59" spans="1:13" s="67" customFormat="1" x14ac:dyDescent="0.3">
      <c r="A59" s="352" t="s">
        <v>864</v>
      </c>
      <c r="B59" s="353"/>
      <c r="C59" s="352"/>
      <c r="D59" s="354">
        <v>784149.34471527836</v>
      </c>
      <c r="E59" s="348"/>
      <c r="F59" s="349"/>
      <c r="G59"/>
      <c r="H59"/>
      <c r="I59"/>
      <c r="J59"/>
      <c r="K59"/>
      <c r="L59"/>
      <c r="M59"/>
    </row>
    <row r="60" spans="1:13" x14ac:dyDescent="0.3">
      <c r="A60" s="345" t="s">
        <v>863</v>
      </c>
      <c r="B60" s="358" t="s">
        <v>862</v>
      </c>
      <c r="C60" s="68" t="s">
        <v>861</v>
      </c>
      <c r="D60" s="347">
        <v>594238.17529204697</v>
      </c>
      <c r="E60" s="348" t="s">
        <v>838</v>
      </c>
      <c r="F60" s="349">
        <v>0</v>
      </c>
    </row>
    <row r="61" spans="1:13" x14ac:dyDescent="0.3">
      <c r="A61" s="350" t="s">
        <v>863</v>
      </c>
      <c r="B61" s="351" t="s">
        <v>862</v>
      </c>
      <c r="C61" s="349" t="s">
        <v>861</v>
      </c>
      <c r="D61" s="347">
        <v>916627.70080487127</v>
      </c>
      <c r="E61" s="348" t="s">
        <v>838</v>
      </c>
      <c r="F61" s="349">
        <v>0</v>
      </c>
    </row>
    <row r="62" spans="1:13" x14ac:dyDescent="0.3">
      <c r="A62" s="350" t="s">
        <v>863</v>
      </c>
      <c r="B62" s="351" t="s">
        <v>862</v>
      </c>
      <c r="C62" s="349" t="s">
        <v>861</v>
      </c>
      <c r="D62" s="347">
        <v>237082</v>
      </c>
      <c r="E62" s="348" t="s">
        <v>838</v>
      </c>
      <c r="F62" s="349">
        <v>0</v>
      </c>
    </row>
    <row r="63" spans="1:13" x14ac:dyDescent="0.3">
      <c r="A63" s="350" t="s">
        <v>863</v>
      </c>
      <c r="B63" s="351" t="s">
        <v>862</v>
      </c>
      <c r="C63" s="349" t="s">
        <v>861</v>
      </c>
      <c r="D63" s="347">
        <v>14410531.007780289</v>
      </c>
      <c r="E63" s="348" t="s">
        <v>838</v>
      </c>
      <c r="F63" s="349">
        <v>0</v>
      </c>
    </row>
    <row r="64" spans="1:13" x14ac:dyDescent="0.3">
      <c r="A64" s="352" t="s">
        <v>860</v>
      </c>
      <c r="B64" s="353"/>
      <c r="C64" s="352"/>
      <c r="D64" s="354">
        <v>16158479</v>
      </c>
      <c r="E64" s="348"/>
      <c r="F64" s="349"/>
    </row>
    <row r="65" spans="1:6" x14ac:dyDescent="0.3">
      <c r="A65" s="350" t="s">
        <v>859</v>
      </c>
      <c r="B65" s="351" t="s">
        <v>858</v>
      </c>
      <c r="C65" s="349" t="s">
        <v>857</v>
      </c>
      <c r="D65" s="347">
        <v>1601992</v>
      </c>
      <c r="E65" s="348" t="s">
        <v>838</v>
      </c>
      <c r="F65" s="349">
        <v>0</v>
      </c>
    </row>
    <row r="66" spans="1:6" x14ac:dyDescent="0.3">
      <c r="A66" s="352" t="s">
        <v>856</v>
      </c>
      <c r="B66" s="353"/>
      <c r="C66" s="352"/>
      <c r="D66" s="354">
        <v>1601992</v>
      </c>
      <c r="E66" s="348"/>
      <c r="F66" s="349"/>
    </row>
    <row r="67" spans="1:6" x14ac:dyDescent="0.3">
      <c r="A67" s="350" t="s">
        <v>855</v>
      </c>
      <c r="B67" s="351" t="s">
        <v>854</v>
      </c>
      <c r="C67" s="349" t="s">
        <v>853</v>
      </c>
      <c r="D67" s="347">
        <v>1069016.0988501257</v>
      </c>
      <c r="E67" s="348" t="s">
        <v>726</v>
      </c>
      <c r="F67" s="348">
        <v>20</v>
      </c>
    </row>
    <row r="68" spans="1:6" x14ac:dyDescent="0.3">
      <c r="A68" s="352" t="s">
        <v>852</v>
      </c>
      <c r="B68" s="353"/>
      <c r="C68" s="352"/>
      <c r="D68" s="354">
        <v>1069016.0988501257</v>
      </c>
      <c r="E68" s="348"/>
      <c r="F68" s="348"/>
    </row>
    <row r="69" spans="1:6" x14ac:dyDescent="0.3">
      <c r="A69" s="350" t="s">
        <v>851</v>
      </c>
      <c r="B69" s="351" t="s">
        <v>848</v>
      </c>
      <c r="C69" s="349" t="s">
        <v>847</v>
      </c>
      <c r="D69" s="347">
        <v>2726144.2062367103</v>
      </c>
      <c r="E69" s="348" t="s">
        <v>838</v>
      </c>
      <c r="F69" s="348">
        <v>0</v>
      </c>
    </row>
    <row r="70" spans="1:6" x14ac:dyDescent="0.3">
      <c r="A70" s="352" t="s">
        <v>850</v>
      </c>
      <c r="B70" s="353"/>
      <c r="C70" s="352"/>
      <c r="D70" s="354">
        <v>2726144.2062367103</v>
      </c>
      <c r="E70" s="348"/>
      <c r="F70" s="348"/>
    </row>
    <row r="71" spans="1:6" x14ac:dyDescent="0.3">
      <c r="A71" s="350" t="s">
        <v>849</v>
      </c>
      <c r="B71" s="351" t="s">
        <v>848</v>
      </c>
      <c r="C71" s="349" t="s">
        <v>847</v>
      </c>
      <c r="D71" s="347">
        <v>398200.83911322727</v>
      </c>
      <c r="E71" s="348" t="s">
        <v>838</v>
      </c>
      <c r="F71" s="348">
        <v>0</v>
      </c>
    </row>
    <row r="72" spans="1:6" x14ac:dyDescent="0.3">
      <c r="A72" s="352" t="s">
        <v>846</v>
      </c>
      <c r="B72" s="353"/>
      <c r="C72" s="352"/>
      <c r="D72" s="354">
        <v>398200.83911322727</v>
      </c>
      <c r="E72" s="348"/>
      <c r="F72" s="348"/>
    </row>
    <row r="73" spans="1:6" x14ac:dyDescent="0.3">
      <c r="A73" s="350" t="s">
        <v>845</v>
      </c>
      <c r="B73" s="351" t="s">
        <v>844</v>
      </c>
      <c r="C73" s="349" t="s">
        <v>843</v>
      </c>
      <c r="D73" s="347">
        <v>906672.67982704076</v>
      </c>
      <c r="E73" s="348" t="s">
        <v>726</v>
      </c>
      <c r="F73" s="348">
        <v>20</v>
      </c>
    </row>
    <row r="74" spans="1:6" x14ac:dyDescent="0.3">
      <c r="A74" s="352" t="s">
        <v>842</v>
      </c>
      <c r="B74" s="353"/>
      <c r="C74" s="352"/>
      <c r="D74" s="354">
        <v>906672.67982704076</v>
      </c>
      <c r="E74" s="348"/>
      <c r="F74" s="348"/>
    </row>
    <row r="75" spans="1:6" x14ac:dyDescent="0.3">
      <c r="A75" s="359" t="s">
        <v>841</v>
      </c>
      <c r="B75" s="351" t="s">
        <v>840</v>
      </c>
      <c r="C75" s="357" t="s">
        <v>797</v>
      </c>
      <c r="D75" s="347">
        <v>1476406.1880967349</v>
      </c>
      <c r="E75" s="348" t="s">
        <v>838</v>
      </c>
      <c r="F75" s="348">
        <v>0</v>
      </c>
    </row>
    <row r="76" spans="1:6" x14ac:dyDescent="0.3">
      <c r="A76" s="352" t="s">
        <v>839</v>
      </c>
      <c r="B76" s="353"/>
      <c r="C76" s="352"/>
      <c r="D76" s="354">
        <v>1476406.1880967349</v>
      </c>
      <c r="E76" s="348"/>
      <c r="F76" s="348"/>
    </row>
    <row r="77" spans="1:6" x14ac:dyDescent="0.3">
      <c r="A77" s="360" t="s">
        <v>745</v>
      </c>
      <c r="B77" s="361"/>
      <c r="C77" s="360"/>
      <c r="D77" s="362">
        <v>53747000</v>
      </c>
      <c r="E77" s="348"/>
      <c r="F77" s="349"/>
    </row>
  </sheetData>
  <mergeCells count="1">
    <mergeCell ref="E30:F30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Y74"/>
  <sheetViews>
    <sheetView zoomScale="80" zoomScaleNormal="80" workbookViewId="0">
      <pane xSplit="4" ySplit="5" topLeftCell="E45" activePane="bottomRight" state="frozen"/>
      <selection pane="topRight" activeCell="E1" sqref="E1"/>
      <selection pane="bottomLeft" activeCell="A6" sqref="A6"/>
      <selection pane="bottomRight" sqref="A1:AR74"/>
    </sheetView>
  </sheetViews>
  <sheetFormatPr defaultRowHeight="15.6" x14ac:dyDescent="0.3"/>
  <cols>
    <col min="1" max="1" width="47.44140625" bestFit="1" customWidth="1"/>
    <col min="2" max="2" width="11.109375" hidden="1" customWidth="1"/>
    <col min="3" max="3" width="17.33203125" bestFit="1" customWidth="1"/>
    <col min="4" max="4" width="17.33203125" hidden="1" customWidth="1"/>
    <col min="5" max="5" width="16" customWidth="1"/>
    <col min="6" max="6" width="16.44140625" bestFit="1" customWidth="1"/>
    <col min="7" max="7" width="14.21875" bestFit="1" customWidth="1"/>
    <col min="8" max="8" width="16.44140625" bestFit="1" customWidth="1"/>
    <col min="9" max="10" width="14.21875" bestFit="1" customWidth="1"/>
    <col min="11" max="11" width="13.44140625" bestFit="1" customWidth="1"/>
    <col min="12" max="12" width="15.44140625" bestFit="1" customWidth="1"/>
    <col min="13" max="13" width="12.44140625" bestFit="1" customWidth="1"/>
    <col min="14" max="14" width="13.44140625" bestFit="1" customWidth="1"/>
    <col min="15" max="15" width="12.77734375" bestFit="1" customWidth="1"/>
    <col min="16" max="16" width="11.88671875" bestFit="1" customWidth="1"/>
    <col min="17" max="17" width="11.44140625" bestFit="1" customWidth="1"/>
    <col min="18" max="18" width="12.44140625" bestFit="1" customWidth="1"/>
    <col min="19" max="19" width="10.6640625" bestFit="1" customWidth="1"/>
    <col min="20" max="20" width="12.44140625" bestFit="1" customWidth="1"/>
    <col min="21" max="23" width="11.44140625" bestFit="1" customWidth="1"/>
    <col min="24" max="24" width="12.88671875" customWidth="1"/>
    <col min="25" max="25" width="12.44140625" bestFit="1" customWidth="1"/>
    <col min="26" max="26" width="10.6640625" bestFit="1" customWidth="1"/>
    <col min="27" max="27" width="12.44140625" bestFit="1" customWidth="1"/>
    <col min="28" max="28" width="10.6640625" customWidth="1"/>
    <col min="29" max="29" width="12.44140625" bestFit="1" customWidth="1"/>
    <col min="30" max="30" width="11.33203125" bestFit="1" customWidth="1"/>
    <col min="31" max="31" width="14.21875" bestFit="1" customWidth="1"/>
    <col min="32" max="32" width="13.44140625" bestFit="1" customWidth="1"/>
    <col min="33" max="33" width="14.21875" bestFit="1" customWidth="1"/>
    <col min="34" max="34" width="12.44140625" bestFit="1" customWidth="1"/>
    <col min="35" max="35" width="11.44140625" customWidth="1"/>
    <col min="36" max="36" width="12.88671875" bestFit="1" customWidth="1"/>
    <col min="37" max="38" width="11.44140625" bestFit="1" customWidth="1"/>
    <col min="39" max="41" width="11.44140625" customWidth="1"/>
    <col min="42" max="42" width="12.88671875" hidden="1" customWidth="1"/>
    <col min="51" max="51" width="16" customWidth="1"/>
  </cols>
  <sheetData>
    <row r="1" spans="1:51" ht="18" x14ac:dyDescent="0.35">
      <c r="A1" s="25" t="s">
        <v>3801</v>
      </c>
      <c r="B1" s="25"/>
    </row>
    <row r="2" spans="1:51" x14ac:dyDescent="0.3">
      <c r="P2" s="85"/>
      <c r="Q2" s="85"/>
      <c r="R2" s="85"/>
    </row>
    <row r="3" spans="1:51" x14ac:dyDescent="0.3">
      <c r="A3" s="26"/>
      <c r="B3" s="26"/>
      <c r="C3" s="27"/>
      <c r="D3" s="27"/>
      <c r="P3" s="85"/>
      <c r="Q3" s="85"/>
      <c r="R3" s="85"/>
    </row>
    <row r="4" spans="1:51" x14ac:dyDescent="0.3">
      <c r="E4" t="s">
        <v>3444</v>
      </c>
      <c r="F4" t="s">
        <v>3444</v>
      </c>
      <c r="G4" t="s">
        <v>3444</v>
      </c>
      <c r="H4" t="s">
        <v>3444</v>
      </c>
      <c r="I4" t="s">
        <v>3444</v>
      </c>
      <c r="J4" t="s">
        <v>3444</v>
      </c>
      <c r="K4" t="s">
        <v>3444</v>
      </c>
      <c r="L4" t="s">
        <v>3444</v>
      </c>
      <c r="M4" t="s">
        <v>3444</v>
      </c>
      <c r="N4" t="s">
        <v>3445</v>
      </c>
      <c r="O4" t="s">
        <v>3446</v>
      </c>
      <c r="P4" t="s">
        <v>3446</v>
      </c>
      <c r="Q4" t="s">
        <v>3446</v>
      </c>
      <c r="R4" t="s">
        <v>3446</v>
      </c>
      <c r="S4" t="s">
        <v>3446</v>
      </c>
      <c r="T4" t="s">
        <v>3446</v>
      </c>
      <c r="U4" t="s">
        <v>3444</v>
      </c>
      <c r="V4" t="s">
        <v>3444</v>
      </c>
      <c r="W4" t="s">
        <v>3447</v>
      </c>
      <c r="X4" t="s">
        <v>3447</v>
      </c>
      <c r="Y4" t="s">
        <v>3446</v>
      </c>
      <c r="Z4" t="s">
        <v>3444</v>
      </c>
      <c r="AA4" t="s">
        <v>3444</v>
      </c>
      <c r="AB4" t="s">
        <v>3446</v>
      </c>
      <c r="AC4" t="s">
        <v>3446</v>
      </c>
      <c r="AD4" s="364" t="s">
        <v>3446</v>
      </c>
      <c r="AE4" t="s">
        <v>3444</v>
      </c>
      <c r="AF4" t="s">
        <v>3445</v>
      </c>
      <c r="AG4" t="s">
        <v>3445</v>
      </c>
      <c r="AH4" t="s">
        <v>3445</v>
      </c>
      <c r="AI4" t="s">
        <v>3445</v>
      </c>
      <c r="AJ4" t="s">
        <v>3447</v>
      </c>
      <c r="AK4" s="364" t="s">
        <v>3446</v>
      </c>
      <c r="AL4" t="s">
        <v>3444</v>
      </c>
      <c r="AM4" t="s">
        <v>3446</v>
      </c>
      <c r="AN4" t="s">
        <v>3446</v>
      </c>
      <c r="AO4" t="s">
        <v>3446</v>
      </c>
    </row>
    <row r="5" spans="1:51" ht="30.6" x14ac:dyDescent="0.3">
      <c r="B5" s="28" t="s">
        <v>774</v>
      </c>
      <c r="C5" s="2">
        <v>5051676000</v>
      </c>
      <c r="D5" t="s">
        <v>775</v>
      </c>
      <c r="E5" s="365" t="s">
        <v>776</v>
      </c>
      <c r="F5" s="365" t="s">
        <v>777</v>
      </c>
      <c r="G5" s="365" t="s">
        <v>778</v>
      </c>
      <c r="H5" s="365" t="s">
        <v>779</v>
      </c>
      <c r="I5" s="365" t="s">
        <v>780</v>
      </c>
      <c r="J5" s="365" t="s">
        <v>781</v>
      </c>
      <c r="K5" s="365" t="s">
        <v>782</v>
      </c>
      <c r="L5" s="365" t="s">
        <v>783</v>
      </c>
      <c r="M5" s="365" t="s">
        <v>3267</v>
      </c>
      <c r="N5" s="365" t="s">
        <v>784</v>
      </c>
      <c r="O5" s="365" t="s">
        <v>785</v>
      </c>
      <c r="P5" s="365" t="s">
        <v>786</v>
      </c>
      <c r="Q5" s="365" t="s">
        <v>787</v>
      </c>
      <c r="R5" s="365" t="s">
        <v>788</v>
      </c>
      <c r="S5" s="365" t="s">
        <v>3448</v>
      </c>
      <c r="T5" s="365" t="s">
        <v>789</v>
      </c>
      <c r="U5" s="365" t="s">
        <v>790</v>
      </c>
      <c r="V5" s="365" t="s">
        <v>791</v>
      </c>
      <c r="W5" s="365" t="s">
        <v>792</v>
      </c>
      <c r="X5" s="365" t="s">
        <v>793</v>
      </c>
      <c r="Y5" s="365" t="s">
        <v>794</v>
      </c>
      <c r="Z5" s="365" t="s">
        <v>795</v>
      </c>
      <c r="AA5" s="365" t="s">
        <v>796</v>
      </c>
      <c r="AB5" s="365" t="s">
        <v>797</v>
      </c>
      <c r="AC5" s="365" t="s">
        <v>798</v>
      </c>
      <c r="AD5" s="365" t="s">
        <v>799</v>
      </c>
      <c r="AE5" s="365" t="s">
        <v>800</v>
      </c>
      <c r="AF5" s="365" t="s">
        <v>3746</v>
      </c>
      <c r="AG5" s="365" t="s">
        <v>3647</v>
      </c>
      <c r="AH5" s="365" t="s">
        <v>3747</v>
      </c>
      <c r="AI5" s="365" t="s">
        <v>3749</v>
      </c>
      <c r="AJ5" s="29" t="s">
        <v>57</v>
      </c>
      <c r="AK5" s="366" t="s">
        <v>3449</v>
      </c>
      <c r="AL5" s="367" t="s">
        <v>3450</v>
      </c>
      <c r="AM5" s="367" t="s">
        <v>801</v>
      </c>
      <c r="AN5" s="367" t="s">
        <v>802</v>
      </c>
      <c r="AO5" s="367" t="s">
        <v>803</v>
      </c>
      <c r="AP5" s="367" t="s">
        <v>804</v>
      </c>
      <c r="AQ5" s="368" t="s">
        <v>3451</v>
      </c>
      <c r="AR5" s="368" t="s">
        <v>3452</v>
      </c>
    </row>
    <row r="6" spans="1:51" ht="21.6" x14ac:dyDescent="0.3">
      <c r="A6" s="30" t="s">
        <v>805</v>
      </c>
      <c r="B6" s="31"/>
      <c r="C6" s="32">
        <v>63135000</v>
      </c>
      <c r="D6" s="32">
        <v>0</v>
      </c>
      <c r="E6" s="369"/>
      <c r="F6" s="369"/>
      <c r="G6" s="369"/>
      <c r="H6" s="369"/>
      <c r="I6" s="369"/>
      <c r="J6" s="369"/>
      <c r="K6" s="369"/>
      <c r="L6" s="369"/>
      <c r="M6" s="369"/>
      <c r="N6" s="369"/>
      <c r="O6" s="33"/>
      <c r="P6" s="369">
        <v>63135000</v>
      </c>
      <c r="Q6" s="34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Y6" s="1"/>
    </row>
    <row r="7" spans="1:51" x14ac:dyDescent="0.3">
      <c r="A7" s="35" t="s">
        <v>806</v>
      </c>
      <c r="B7" s="36"/>
      <c r="C7" s="32">
        <v>2400000</v>
      </c>
      <c r="D7" s="32">
        <v>2400000</v>
      </c>
      <c r="E7" s="369"/>
      <c r="F7" s="369"/>
      <c r="G7" s="369"/>
      <c r="H7" s="369"/>
      <c r="I7" s="369">
        <v>2400000</v>
      </c>
      <c r="J7" s="369"/>
      <c r="K7" s="369"/>
      <c r="L7" s="369"/>
      <c r="M7" s="369"/>
      <c r="N7" s="369"/>
      <c r="O7" s="33"/>
      <c r="P7" s="369"/>
      <c r="Q7" s="34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Y7" s="1"/>
    </row>
    <row r="8" spans="1:51" x14ac:dyDescent="0.3">
      <c r="A8" s="35" t="s">
        <v>807</v>
      </c>
      <c r="B8" s="36"/>
      <c r="C8" s="32">
        <v>50000000</v>
      </c>
      <c r="D8" s="32">
        <v>50000000</v>
      </c>
      <c r="E8" s="369"/>
      <c r="F8" s="369"/>
      <c r="G8" s="369"/>
      <c r="H8" s="369"/>
      <c r="I8" s="369">
        <v>50000000</v>
      </c>
      <c r="J8" s="369"/>
      <c r="K8" s="369"/>
      <c r="L8" s="369"/>
      <c r="M8" s="369"/>
      <c r="N8" s="369"/>
      <c r="O8" s="33"/>
      <c r="P8" s="369"/>
      <c r="Q8" s="34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Y8" s="1"/>
    </row>
    <row r="9" spans="1:51" x14ac:dyDescent="0.3">
      <c r="A9" s="37"/>
      <c r="B9" s="36"/>
      <c r="C9" s="370"/>
      <c r="D9" s="32"/>
      <c r="E9" s="369"/>
      <c r="F9" s="369"/>
      <c r="G9" s="369"/>
      <c r="H9" s="369"/>
      <c r="I9" s="369"/>
      <c r="J9" s="369"/>
      <c r="K9" s="369"/>
      <c r="L9" s="369"/>
      <c r="M9" s="369"/>
      <c r="N9" s="369"/>
      <c r="O9" s="33"/>
      <c r="P9" s="369"/>
      <c r="Q9" s="34"/>
      <c r="R9" s="33"/>
      <c r="S9" s="33"/>
      <c r="T9" s="33"/>
      <c r="U9" s="33"/>
      <c r="V9" s="33"/>
      <c r="W9" s="33"/>
      <c r="X9" s="371"/>
      <c r="Y9" s="369"/>
      <c r="Z9" s="369"/>
      <c r="AA9" s="369"/>
      <c r="AB9" s="369"/>
      <c r="AC9" s="369"/>
      <c r="AD9" s="369"/>
      <c r="AE9" s="371"/>
      <c r="AF9" s="33"/>
      <c r="AG9" s="369"/>
      <c r="AH9" s="33"/>
      <c r="AI9" s="33"/>
      <c r="AJ9" s="33"/>
      <c r="AK9" s="33"/>
      <c r="AL9" s="33"/>
      <c r="AM9" s="33"/>
      <c r="AN9" s="33"/>
      <c r="AO9" s="33"/>
      <c r="AP9" s="33"/>
      <c r="AY9" s="1"/>
    </row>
    <row r="10" spans="1:51" x14ac:dyDescent="0.3">
      <c r="A10" s="38" t="s">
        <v>3802</v>
      </c>
      <c r="B10" s="39"/>
      <c r="C10" s="32">
        <v>119305000</v>
      </c>
      <c r="D10" s="32"/>
      <c r="E10" s="369"/>
      <c r="F10" s="369"/>
      <c r="G10" s="369"/>
      <c r="H10" s="369"/>
      <c r="I10" s="369"/>
      <c r="J10" s="369"/>
      <c r="K10" s="369"/>
      <c r="L10" s="369"/>
      <c r="M10" s="369"/>
      <c r="N10" s="372">
        <v>119305000</v>
      </c>
      <c r="O10" s="33"/>
      <c r="P10" s="369"/>
      <c r="Q10" s="34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72"/>
      <c r="AG10" s="372"/>
      <c r="AH10" s="372"/>
      <c r="AI10" s="373"/>
      <c r="AJ10" s="372"/>
      <c r="AK10" s="33"/>
      <c r="AL10" s="33"/>
      <c r="AM10" s="33"/>
      <c r="AN10" s="33"/>
      <c r="AO10" s="33"/>
      <c r="AP10" s="33"/>
      <c r="AY10" s="1"/>
    </row>
    <row r="11" spans="1:51" x14ac:dyDescent="0.3">
      <c r="A11" s="35" t="s">
        <v>809</v>
      </c>
      <c r="B11" s="40"/>
      <c r="C11" s="41">
        <v>119140000</v>
      </c>
      <c r="D11" s="32">
        <v>110795564.20233463</v>
      </c>
      <c r="E11" s="369"/>
      <c r="F11" s="369">
        <v>91849522.723735407</v>
      </c>
      <c r="G11" s="369">
        <v>0</v>
      </c>
      <c r="H11" s="369">
        <v>10857965.291828794</v>
      </c>
      <c r="I11" s="369">
        <v>0</v>
      </c>
      <c r="J11" s="369">
        <v>0</v>
      </c>
      <c r="K11" s="369">
        <v>0</v>
      </c>
      <c r="L11" s="369">
        <v>8088076.1867704289</v>
      </c>
      <c r="M11" s="369">
        <v>0</v>
      </c>
      <c r="N11" s="369">
        <v>8344435.7976653697</v>
      </c>
      <c r="O11" s="33"/>
      <c r="P11" s="369"/>
      <c r="Q11" s="34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Y11" s="1"/>
    </row>
    <row r="12" spans="1:51" x14ac:dyDescent="0.3">
      <c r="A12" s="35" t="s">
        <v>810</v>
      </c>
      <c r="B12" s="40"/>
      <c r="C12" s="41">
        <v>175925000</v>
      </c>
      <c r="D12" s="32">
        <v>172514543.12748045</v>
      </c>
      <c r="E12" s="369"/>
      <c r="F12" s="369">
        <v>138154867.28412506</v>
      </c>
      <c r="G12" s="369">
        <v>0</v>
      </c>
      <c r="H12" s="369">
        <v>0</v>
      </c>
      <c r="I12" s="369">
        <v>0</v>
      </c>
      <c r="J12" s="369">
        <v>0</v>
      </c>
      <c r="K12" s="369">
        <v>0</v>
      </c>
      <c r="L12" s="369">
        <v>34359675.84335538</v>
      </c>
      <c r="M12" s="369">
        <v>0</v>
      </c>
      <c r="N12" s="369">
        <v>3410456.8725195429</v>
      </c>
      <c r="O12" s="33">
        <v>0</v>
      </c>
      <c r="P12" s="369">
        <v>0</v>
      </c>
      <c r="Q12" s="34">
        <v>0</v>
      </c>
      <c r="R12" s="33">
        <v>0</v>
      </c>
      <c r="S12" s="33">
        <v>0</v>
      </c>
      <c r="T12" s="33">
        <v>0</v>
      </c>
      <c r="U12" s="33">
        <v>0</v>
      </c>
      <c r="V12" s="33">
        <v>0</v>
      </c>
      <c r="W12" s="33">
        <v>0</v>
      </c>
      <c r="X12" s="33"/>
      <c r="Y12" s="33">
        <v>0</v>
      </c>
      <c r="Z12" s="33">
        <v>0</v>
      </c>
      <c r="AA12" s="33">
        <v>0</v>
      </c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Y12" s="1"/>
    </row>
    <row r="13" spans="1:51" x14ac:dyDescent="0.3">
      <c r="A13" s="35" t="s">
        <v>811</v>
      </c>
      <c r="B13" s="40"/>
      <c r="C13" s="374">
        <v>0</v>
      </c>
      <c r="D13" s="32">
        <v>0</v>
      </c>
      <c r="E13" s="369"/>
      <c r="F13" s="369"/>
      <c r="G13" s="369"/>
      <c r="H13" s="369"/>
      <c r="I13" s="369"/>
      <c r="J13" s="369"/>
      <c r="K13" s="369"/>
      <c r="L13" s="369"/>
      <c r="M13" s="369"/>
      <c r="N13" s="375"/>
      <c r="O13" s="33"/>
      <c r="P13" s="369"/>
      <c r="Q13" s="34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69"/>
      <c r="AD13" s="33"/>
      <c r="AE13" s="33"/>
      <c r="AF13" s="369"/>
      <c r="AG13" s="369"/>
      <c r="AH13" s="33"/>
      <c r="AI13" s="33"/>
      <c r="AJ13" s="33"/>
      <c r="AK13" s="33"/>
      <c r="AL13" s="34"/>
      <c r="AM13" s="34"/>
      <c r="AN13" s="34"/>
      <c r="AO13" s="34"/>
      <c r="AP13" s="34">
        <v>0</v>
      </c>
      <c r="AY13" s="1"/>
    </row>
    <row r="14" spans="1:51" x14ac:dyDescent="0.3">
      <c r="A14" s="24" t="s">
        <v>772</v>
      </c>
      <c r="B14" s="42"/>
      <c r="C14" s="41">
        <v>317402000</v>
      </c>
      <c r="D14" s="32">
        <v>182932020</v>
      </c>
      <c r="E14" s="376">
        <v>10545128</v>
      </c>
      <c r="F14" s="376">
        <v>68549492</v>
      </c>
      <c r="G14" s="376">
        <v>5117025</v>
      </c>
      <c r="H14" s="376">
        <v>11545421</v>
      </c>
      <c r="I14" s="376">
        <v>56522226</v>
      </c>
      <c r="J14" s="376">
        <v>3886267</v>
      </c>
      <c r="K14" s="376">
        <v>9597622</v>
      </c>
      <c r="L14" s="376">
        <v>12319491</v>
      </c>
      <c r="M14" s="376">
        <v>0</v>
      </c>
      <c r="N14" s="376">
        <v>11582833</v>
      </c>
      <c r="O14" s="377">
        <v>7730943</v>
      </c>
      <c r="P14" s="378">
        <v>707053</v>
      </c>
      <c r="Q14" s="378"/>
      <c r="R14" s="378">
        <v>10400287</v>
      </c>
      <c r="S14" s="378"/>
      <c r="T14" s="378">
        <v>8379914</v>
      </c>
      <c r="U14" s="376">
        <v>3860093</v>
      </c>
      <c r="V14" s="378"/>
      <c r="W14" s="379">
        <v>69699343</v>
      </c>
      <c r="X14" s="379">
        <v>12724717</v>
      </c>
      <c r="Y14" s="378"/>
      <c r="Z14" s="376">
        <v>1813762</v>
      </c>
      <c r="AA14" s="376">
        <v>1628126</v>
      </c>
      <c r="AB14" s="378">
        <v>315672</v>
      </c>
      <c r="AC14" s="378">
        <v>2365920</v>
      </c>
      <c r="AD14" s="378"/>
      <c r="AE14" s="376">
        <v>441536</v>
      </c>
      <c r="AF14" s="378">
        <v>421045</v>
      </c>
      <c r="AG14" s="378">
        <v>246184</v>
      </c>
      <c r="AH14" s="378"/>
      <c r="AI14" s="378"/>
      <c r="AJ14" s="378"/>
      <c r="AK14" s="378"/>
      <c r="AL14" s="33">
        <v>821362</v>
      </c>
      <c r="AM14" s="369">
        <v>1236730</v>
      </c>
      <c r="AN14" s="369">
        <v>839207</v>
      </c>
      <c r="AO14" s="369">
        <v>4104601</v>
      </c>
      <c r="AP14" s="33"/>
      <c r="AY14" s="1"/>
    </row>
    <row r="15" spans="1:51" x14ac:dyDescent="0.3">
      <c r="A15" s="380"/>
      <c r="B15" s="42"/>
      <c r="C15" s="381"/>
      <c r="D15" s="41"/>
      <c r="E15" s="376"/>
      <c r="F15" s="376"/>
      <c r="G15" s="376"/>
      <c r="H15" s="376"/>
      <c r="I15" s="376"/>
      <c r="J15" s="376"/>
      <c r="K15" s="376"/>
      <c r="L15" s="376"/>
      <c r="M15" s="376"/>
      <c r="N15" s="376"/>
      <c r="O15" s="377"/>
      <c r="P15" s="378"/>
      <c r="Q15" s="378"/>
      <c r="R15" s="378"/>
      <c r="S15" s="378"/>
      <c r="T15" s="378"/>
      <c r="U15" s="376"/>
      <c r="V15" s="378"/>
      <c r="W15" s="379"/>
      <c r="X15" s="379"/>
      <c r="Y15" s="378"/>
      <c r="Z15" s="376"/>
      <c r="AA15" s="376"/>
      <c r="AB15" s="378"/>
      <c r="AC15" s="378"/>
      <c r="AD15" s="378"/>
      <c r="AE15" s="376"/>
      <c r="AF15" s="378"/>
      <c r="AG15" s="378"/>
      <c r="AH15" s="378"/>
      <c r="AI15" s="378"/>
      <c r="AJ15" s="378"/>
      <c r="AK15" s="378"/>
      <c r="AL15" s="378"/>
      <c r="AM15" s="369"/>
      <c r="AN15" s="369"/>
      <c r="AO15" s="369"/>
      <c r="AP15" s="33"/>
      <c r="AS15">
        <v>77434945.108097956</v>
      </c>
      <c r="AT15" s="2">
        <f>+AS15-C15</f>
        <v>77434945.108097956</v>
      </c>
      <c r="AY15" s="1"/>
    </row>
    <row r="16" spans="1:51" ht="20.399999999999999" x14ac:dyDescent="0.3">
      <c r="A16" s="38" t="s">
        <v>92</v>
      </c>
      <c r="B16" s="43"/>
      <c r="C16" s="41">
        <v>1720269000</v>
      </c>
      <c r="D16" s="41">
        <v>0</v>
      </c>
      <c r="E16" s="382">
        <v>109313943</v>
      </c>
      <c r="F16" s="382">
        <v>600464481</v>
      </c>
      <c r="G16" s="382">
        <v>139226994</v>
      </c>
      <c r="H16" s="382">
        <v>87196162</v>
      </c>
      <c r="I16" s="382">
        <v>416558462</v>
      </c>
      <c r="J16" s="382">
        <v>101144500</v>
      </c>
      <c r="K16" s="382">
        <v>74869241</v>
      </c>
      <c r="L16" s="382">
        <v>63990508</v>
      </c>
      <c r="M16" s="382">
        <v>4801887</v>
      </c>
      <c r="N16" s="383">
        <v>79837000</v>
      </c>
      <c r="O16" s="384">
        <v>1372137</v>
      </c>
      <c r="P16" s="385">
        <v>0</v>
      </c>
      <c r="Q16" s="385"/>
      <c r="R16" s="34"/>
      <c r="S16" s="34"/>
      <c r="T16" s="34"/>
      <c r="U16" s="34"/>
      <c r="V16" s="34"/>
      <c r="W16" s="385"/>
      <c r="X16" s="385"/>
      <c r="Y16" s="385"/>
      <c r="Z16" s="385"/>
      <c r="AA16" s="382">
        <v>1552125</v>
      </c>
      <c r="AB16" s="385"/>
      <c r="AC16" s="386">
        <v>1884723</v>
      </c>
      <c r="AD16" s="386">
        <v>694714</v>
      </c>
      <c r="AE16" s="382">
        <v>4192123</v>
      </c>
      <c r="AF16" s="383">
        <v>24079000</v>
      </c>
      <c r="AG16" s="383">
        <v>2564000</v>
      </c>
      <c r="AH16" s="383">
        <v>6527000</v>
      </c>
      <c r="AI16" s="383"/>
      <c r="AJ16" s="385"/>
      <c r="AK16" s="34"/>
      <c r="AL16" s="34"/>
      <c r="AM16" s="34"/>
      <c r="AN16" s="34"/>
      <c r="AO16" s="34"/>
      <c r="AP16" s="33"/>
      <c r="AY16" s="1"/>
    </row>
    <row r="17" spans="1:51" ht="21.6" x14ac:dyDescent="0.3">
      <c r="A17" s="24" t="s">
        <v>812</v>
      </c>
      <c r="B17" s="42"/>
      <c r="C17" s="374">
        <v>0</v>
      </c>
      <c r="D17" s="41">
        <v>0</v>
      </c>
      <c r="E17" s="385"/>
      <c r="F17" s="387"/>
      <c r="G17" s="388"/>
      <c r="H17" s="387"/>
      <c r="I17" s="387"/>
      <c r="J17" s="387"/>
      <c r="K17" s="387"/>
      <c r="L17" s="387"/>
      <c r="M17" s="387"/>
      <c r="N17" s="387"/>
      <c r="O17" s="387"/>
      <c r="P17" s="387"/>
      <c r="Q17" s="387"/>
      <c r="R17" s="387"/>
      <c r="S17" s="389"/>
      <c r="T17" s="372"/>
      <c r="U17" s="387"/>
      <c r="V17" s="387"/>
      <c r="W17" s="387"/>
      <c r="X17" s="387"/>
      <c r="Y17" s="387"/>
      <c r="Z17" s="387"/>
      <c r="AA17" s="387"/>
      <c r="AB17" s="387"/>
      <c r="AC17" s="387"/>
      <c r="AD17" s="387"/>
      <c r="AE17" s="385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Y17" s="1"/>
    </row>
    <row r="18" spans="1:51" x14ac:dyDescent="0.3">
      <c r="A18" s="24" t="s">
        <v>3453</v>
      </c>
      <c r="B18" s="42"/>
      <c r="C18" s="41">
        <v>263000000</v>
      </c>
      <c r="D18" s="41"/>
      <c r="E18" s="385"/>
      <c r="F18" s="387">
        <v>222776813</v>
      </c>
      <c r="G18" s="388"/>
      <c r="H18" s="387"/>
      <c r="I18" s="387"/>
      <c r="J18" s="387"/>
      <c r="K18" s="387">
        <v>9220868</v>
      </c>
      <c r="L18" s="387">
        <v>10885259</v>
      </c>
      <c r="M18" s="387"/>
      <c r="N18" s="387">
        <v>20117060</v>
      </c>
      <c r="O18" s="387"/>
      <c r="P18" s="387"/>
      <c r="Q18" s="387"/>
      <c r="R18" s="387"/>
      <c r="S18" s="389"/>
      <c r="T18" s="372"/>
      <c r="U18" s="387"/>
      <c r="V18" s="387"/>
      <c r="W18" s="387"/>
      <c r="X18" s="387"/>
      <c r="Y18" s="387"/>
      <c r="Z18" s="387"/>
      <c r="AA18" s="387"/>
      <c r="AB18" s="387"/>
      <c r="AC18" s="387"/>
      <c r="AD18" s="387"/>
      <c r="AE18" s="385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Y18" s="1"/>
    </row>
    <row r="19" spans="1:51" x14ac:dyDescent="0.3">
      <c r="A19" s="24" t="s">
        <v>813</v>
      </c>
      <c r="B19" s="42"/>
      <c r="C19" s="41">
        <v>257215000</v>
      </c>
      <c r="D19" s="41">
        <v>0</v>
      </c>
      <c r="E19" s="385"/>
      <c r="F19" s="387"/>
      <c r="G19" s="388"/>
      <c r="H19" s="387"/>
      <c r="I19" s="387"/>
      <c r="J19" s="387"/>
      <c r="K19" s="387"/>
      <c r="L19" s="387"/>
      <c r="M19" s="387"/>
      <c r="N19" s="387"/>
      <c r="O19" s="387"/>
      <c r="P19" s="387"/>
      <c r="Q19" s="387"/>
      <c r="R19" s="387">
        <v>257215000</v>
      </c>
      <c r="S19" s="389"/>
      <c r="T19" s="372"/>
      <c r="U19" s="387"/>
      <c r="V19" s="387"/>
      <c r="W19" s="387"/>
      <c r="X19" s="387"/>
      <c r="Y19" s="387"/>
      <c r="Z19" s="387"/>
      <c r="AA19" s="387"/>
      <c r="AB19" s="387"/>
      <c r="AC19" s="387"/>
      <c r="AD19" s="387"/>
      <c r="AE19" s="385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Y19" s="1"/>
    </row>
    <row r="20" spans="1:51" x14ac:dyDescent="0.3">
      <c r="A20" s="24" t="s">
        <v>814</v>
      </c>
      <c r="B20" s="42"/>
      <c r="C20" s="374">
        <v>0</v>
      </c>
      <c r="D20" s="41">
        <v>0</v>
      </c>
      <c r="E20" s="385"/>
      <c r="F20" s="387"/>
      <c r="G20" s="388"/>
      <c r="H20" s="387"/>
      <c r="I20" s="387"/>
      <c r="J20" s="387"/>
      <c r="K20" s="387"/>
      <c r="L20" s="387"/>
      <c r="M20" s="387"/>
      <c r="N20" s="387"/>
      <c r="O20" s="387"/>
      <c r="P20" s="387"/>
      <c r="Q20" s="387"/>
      <c r="R20" s="387"/>
      <c r="S20" s="389"/>
      <c r="T20" s="372"/>
      <c r="U20" s="387"/>
      <c r="V20" s="387"/>
      <c r="W20" s="387"/>
      <c r="X20" s="387"/>
      <c r="Y20" s="387"/>
      <c r="Z20" s="387"/>
      <c r="AA20" s="387"/>
      <c r="AB20" s="387"/>
      <c r="AC20" s="387"/>
      <c r="AD20" s="387"/>
      <c r="AE20" s="385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Y20" s="1"/>
    </row>
    <row r="21" spans="1:51" x14ac:dyDescent="0.3">
      <c r="A21" s="24" t="s">
        <v>815</v>
      </c>
      <c r="B21" s="42"/>
      <c r="C21" s="374">
        <v>0</v>
      </c>
      <c r="D21" s="41">
        <v>0</v>
      </c>
      <c r="E21" s="385"/>
      <c r="F21" s="387"/>
      <c r="G21" s="388"/>
      <c r="H21" s="387"/>
      <c r="I21" s="387"/>
      <c r="J21" s="387"/>
      <c r="K21" s="387"/>
      <c r="L21" s="387"/>
      <c r="M21" s="387"/>
      <c r="N21" s="387"/>
      <c r="O21" s="387"/>
      <c r="P21" s="387"/>
      <c r="Q21" s="387"/>
      <c r="R21" s="387"/>
      <c r="S21" s="389"/>
      <c r="T21" s="372"/>
      <c r="U21" s="387"/>
      <c r="V21" s="387"/>
      <c r="W21" s="387"/>
      <c r="X21" s="387"/>
      <c r="Y21" s="387"/>
      <c r="Z21" s="387"/>
      <c r="AA21" s="387"/>
      <c r="AB21" s="387"/>
      <c r="AC21" s="387"/>
      <c r="AD21" s="387"/>
      <c r="AE21" s="385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Y21" s="1"/>
    </row>
    <row r="22" spans="1:51" ht="21.6" x14ac:dyDescent="0.3">
      <c r="A22" s="24" t="s">
        <v>816</v>
      </c>
      <c r="B22" s="42"/>
      <c r="C22" s="41">
        <v>8500000</v>
      </c>
      <c r="D22" s="41">
        <v>8500000</v>
      </c>
      <c r="E22" s="385"/>
      <c r="F22" s="387"/>
      <c r="G22" s="388"/>
      <c r="H22" s="387"/>
      <c r="I22" s="387"/>
      <c r="J22" s="387"/>
      <c r="K22" s="387"/>
      <c r="L22" s="387">
        <v>1316000</v>
      </c>
      <c r="M22" s="387"/>
      <c r="N22" s="387"/>
      <c r="O22" s="387"/>
      <c r="P22" s="387"/>
      <c r="Q22" s="387"/>
      <c r="R22" s="387"/>
      <c r="S22" s="389"/>
      <c r="T22" s="372">
        <v>7184000</v>
      </c>
      <c r="U22" s="387"/>
      <c r="V22" s="387"/>
      <c r="W22" s="387"/>
      <c r="X22" s="387"/>
      <c r="Y22" s="387"/>
      <c r="Z22" s="387"/>
      <c r="AA22" s="387"/>
      <c r="AB22" s="387"/>
      <c r="AC22" s="387"/>
      <c r="AD22" s="387"/>
      <c r="AE22" s="385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Y22" s="1"/>
    </row>
    <row r="23" spans="1:51" x14ac:dyDescent="0.3">
      <c r="A23" s="24" t="s">
        <v>817</v>
      </c>
      <c r="B23" s="42"/>
      <c r="C23" s="374">
        <v>0</v>
      </c>
      <c r="D23" s="41">
        <v>0</v>
      </c>
      <c r="E23" s="385"/>
      <c r="F23" s="387"/>
      <c r="G23" s="388"/>
      <c r="H23" s="387"/>
      <c r="I23" s="387"/>
      <c r="J23" s="387"/>
      <c r="K23" s="387"/>
      <c r="L23" s="387"/>
      <c r="M23" s="387"/>
      <c r="N23" s="387"/>
      <c r="O23" s="387"/>
      <c r="P23" s="387"/>
      <c r="Q23" s="387"/>
      <c r="R23" s="387"/>
      <c r="S23" s="389"/>
      <c r="T23" s="372"/>
      <c r="U23" s="387"/>
      <c r="V23" s="387"/>
      <c r="W23" s="387"/>
      <c r="X23" s="387"/>
      <c r="Y23" s="387"/>
      <c r="Z23" s="390"/>
      <c r="AA23" s="387"/>
      <c r="AB23" s="387"/>
      <c r="AC23" s="387"/>
      <c r="AD23" s="387"/>
      <c r="AE23" s="385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Y23" s="1"/>
    </row>
    <row r="24" spans="1:51" ht="21.6" x14ac:dyDescent="0.3">
      <c r="A24" s="24" t="s">
        <v>818</v>
      </c>
      <c r="B24" s="42"/>
      <c r="C24" s="41">
        <v>190000000</v>
      </c>
      <c r="D24" s="41"/>
      <c r="E24" s="385"/>
      <c r="F24" s="387"/>
      <c r="G24" s="388"/>
      <c r="H24" s="387"/>
      <c r="I24" s="387"/>
      <c r="J24" s="387"/>
      <c r="K24" s="387"/>
      <c r="L24" s="387"/>
      <c r="M24" s="387"/>
      <c r="N24" s="387"/>
      <c r="O24" s="387"/>
      <c r="P24" s="387"/>
      <c r="Q24" s="387"/>
      <c r="R24" s="387"/>
      <c r="S24" s="389"/>
      <c r="T24" s="372">
        <v>190000000</v>
      </c>
      <c r="U24" s="387"/>
      <c r="V24" s="387"/>
      <c r="W24" s="387"/>
      <c r="X24" s="387"/>
      <c r="Y24" s="387"/>
      <c r="Z24" s="387"/>
      <c r="AA24" s="387"/>
      <c r="AB24" s="387"/>
      <c r="AC24" s="387"/>
      <c r="AD24" s="387"/>
      <c r="AE24" s="385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Y24" s="1"/>
    </row>
    <row r="25" spans="1:51" x14ac:dyDescent="0.3">
      <c r="A25" s="24" t="s">
        <v>819</v>
      </c>
      <c r="B25" s="42"/>
      <c r="C25" s="41">
        <v>35000000</v>
      </c>
      <c r="D25" s="41"/>
      <c r="E25" s="385"/>
      <c r="F25" s="385"/>
      <c r="G25" s="388"/>
      <c r="H25" s="387"/>
      <c r="I25" s="387"/>
      <c r="J25" s="387"/>
      <c r="K25" s="387"/>
      <c r="L25" s="387"/>
      <c r="M25" s="387"/>
      <c r="N25" s="387"/>
      <c r="O25" s="387"/>
      <c r="P25" s="387"/>
      <c r="Q25" s="387"/>
      <c r="R25" s="387"/>
      <c r="S25" s="389"/>
      <c r="T25" s="372"/>
      <c r="U25" s="387"/>
      <c r="V25" s="387"/>
      <c r="W25" s="387">
        <v>35000000</v>
      </c>
      <c r="X25" s="387"/>
      <c r="Y25" s="387"/>
      <c r="Z25" s="387"/>
      <c r="AA25" s="387"/>
      <c r="AB25" s="387"/>
      <c r="AC25" s="387"/>
      <c r="AD25" s="387"/>
      <c r="AE25" s="385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Y25" s="1"/>
    </row>
    <row r="26" spans="1:51" ht="21.6" x14ac:dyDescent="0.3">
      <c r="A26" s="45" t="s">
        <v>820</v>
      </c>
      <c r="B26" s="46"/>
      <c r="C26" s="41">
        <v>500641000</v>
      </c>
      <c r="D26" s="41"/>
      <c r="E26" s="385"/>
      <c r="F26" s="387"/>
      <c r="G26" s="388"/>
      <c r="H26" s="387"/>
      <c r="I26" s="387"/>
      <c r="J26" s="387"/>
      <c r="K26" s="387"/>
      <c r="L26" s="387"/>
      <c r="M26" s="387"/>
      <c r="N26" s="387"/>
      <c r="O26" s="387"/>
      <c r="P26" s="387"/>
      <c r="Q26" s="387"/>
      <c r="R26" s="387"/>
      <c r="S26" s="389"/>
      <c r="T26" s="372"/>
      <c r="U26" s="387"/>
      <c r="V26" s="387"/>
      <c r="W26" s="387"/>
      <c r="X26" s="387"/>
      <c r="Y26" s="387">
        <v>500641000</v>
      </c>
      <c r="Z26" s="387"/>
      <c r="AA26" s="387"/>
      <c r="AB26" s="387"/>
      <c r="AC26" s="387"/>
      <c r="AD26" s="387"/>
      <c r="AE26" s="385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Y26" s="1"/>
    </row>
    <row r="27" spans="1:51" x14ac:dyDescent="0.3">
      <c r="A27" s="24" t="s">
        <v>821</v>
      </c>
      <c r="B27" s="42"/>
      <c r="C27" s="41">
        <v>21500000</v>
      </c>
      <c r="D27" s="41"/>
      <c r="E27" s="385"/>
      <c r="F27" s="387"/>
      <c r="G27" s="388"/>
      <c r="H27" s="387"/>
      <c r="I27" s="387"/>
      <c r="J27" s="387"/>
      <c r="K27" s="387"/>
      <c r="L27" s="387"/>
      <c r="M27" s="387"/>
      <c r="N27" s="387">
        <v>21500000</v>
      </c>
      <c r="O27" s="387"/>
      <c r="P27" s="387"/>
      <c r="Q27" s="387"/>
      <c r="R27" s="387"/>
      <c r="S27" s="389"/>
      <c r="T27" s="372"/>
      <c r="U27" s="387"/>
      <c r="V27" s="387"/>
      <c r="W27" s="387"/>
      <c r="X27" s="387"/>
      <c r="Y27" s="387"/>
      <c r="Z27" s="387"/>
      <c r="AA27" s="387"/>
      <c r="AB27" s="387"/>
      <c r="AC27" s="387"/>
      <c r="AD27" s="387"/>
      <c r="AE27" s="385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Y27" s="1"/>
    </row>
    <row r="28" spans="1:51" x14ac:dyDescent="0.3">
      <c r="A28" s="38" t="s">
        <v>822</v>
      </c>
      <c r="B28" s="43"/>
      <c r="C28" s="41">
        <v>37500000</v>
      </c>
      <c r="D28" s="41">
        <v>33500000</v>
      </c>
      <c r="E28" s="387"/>
      <c r="F28" s="387">
        <v>1000000</v>
      </c>
      <c r="G28" s="388"/>
      <c r="H28" s="387"/>
      <c r="I28" s="387">
        <v>25500000</v>
      </c>
      <c r="J28" s="387">
        <v>7000000</v>
      </c>
      <c r="K28" s="387"/>
      <c r="L28" s="387"/>
      <c r="M28" s="387"/>
      <c r="N28" s="33"/>
      <c r="O28" s="387"/>
      <c r="P28" s="387"/>
      <c r="Q28" s="387"/>
      <c r="R28" s="387"/>
      <c r="S28" s="389"/>
      <c r="T28" s="372"/>
      <c r="U28" s="387"/>
      <c r="V28" s="387"/>
      <c r="W28" s="387"/>
      <c r="X28" s="387"/>
      <c r="Y28" s="387"/>
      <c r="Z28" s="387"/>
      <c r="AA28" s="387"/>
      <c r="AB28" s="387"/>
      <c r="AC28" s="387"/>
      <c r="AD28" s="387"/>
      <c r="AE28" s="387"/>
      <c r="AF28" s="33"/>
      <c r="AG28" s="33"/>
      <c r="AH28" s="33"/>
      <c r="AI28" s="33"/>
      <c r="AJ28" s="387">
        <v>4000000</v>
      </c>
      <c r="AK28" s="33"/>
      <c r="AL28" s="33"/>
      <c r="AM28" s="33"/>
      <c r="AN28" s="33"/>
      <c r="AO28" s="33"/>
      <c r="AP28" s="33"/>
      <c r="AY28" s="1"/>
    </row>
    <row r="29" spans="1:51" x14ac:dyDescent="0.3">
      <c r="A29" s="24" t="s">
        <v>823</v>
      </c>
      <c r="B29" s="42"/>
      <c r="C29" s="41">
        <v>0</v>
      </c>
      <c r="D29" s="41">
        <v>0</v>
      </c>
      <c r="E29" s="387"/>
      <c r="F29" s="387"/>
      <c r="G29" s="388"/>
      <c r="H29" s="387"/>
      <c r="I29" s="387"/>
      <c r="J29" s="387"/>
      <c r="K29" s="387"/>
      <c r="L29" s="387"/>
      <c r="M29" s="387"/>
      <c r="N29" s="387"/>
      <c r="O29" s="387"/>
      <c r="P29" s="387"/>
      <c r="Q29" s="387"/>
      <c r="R29" s="387"/>
      <c r="S29" s="389"/>
      <c r="T29" s="372"/>
      <c r="U29" s="387"/>
      <c r="V29" s="387">
        <v>0</v>
      </c>
      <c r="W29" s="387"/>
      <c r="X29" s="387"/>
      <c r="Y29" s="387"/>
      <c r="Z29" s="387"/>
      <c r="AA29" s="387"/>
      <c r="AB29" s="387"/>
      <c r="AC29" s="387"/>
      <c r="AD29" s="387"/>
      <c r="AE29" s="387"/>
      <c r="AF29" s="33"/>
      <c r="AG29" s="33"/>
      <c r="AH29" s="33"/>
      <c r="AI29" s="33"/>
      <c r="AJ29" s="33"/>
      <c r="AK29" s="33"/>
      <c r="AL29" s="33"/>
      <c r="AM29" s="33"/>
      <c r="AN29" s="33"/>
      <c r="AO29" s="33"/>
      <c r="AP29" s="33"/>
      <c r="AY29" s="1"/>
    </row>
    <row r="30" spans="1:51" ht="20.399999999999999" x14ac:dyDescent="0.3">
      <c r="A30" s="38" t="s">
        <v>824</v>
      </c>
      <c r="B30" s="43"/>
      <c r="C30" s="41">
        <v>0</v>
      </c>
      <c r="D30" s="41"/>
      <c r="E30" s="387"/>
      <c r="F30" s="387"/>
      <c r="G30" s="388"/>
      <c r="H30" s="387"/>
      <c r="I30" s="387"/>
      <c r="J30" s="387"/>
      <c r="K30" s="387"/>
      <c r="L30" s="387"/>
      <c r="M30" s="387"/>
      <c r="N30" s="387"/>
      <c r="O30" s="387">
        <v>0</v>
      </c>
      <c r="P30" s="387"/>
      <c r="Q30" s="387">
        <v>0</v>
      </c>
      <c r="R30" s="387"/>
      <c r="S30" s="391"/>
      <c r="T30" s="387"/>
      <c r="U30" s="387"/>
      <c r="V30" s="387"/>
      <c r="W30" s="387"/>
      <c r="X30" s="387"/>
      <c r="Y30" s="387"/>
      <c r="Z30" s="387"/>
      <c r="AA30" s="387"/>
      <c r="AB30" s="387"/>
      <c r="AC30" s="387"/>
      <c r="AD30" s="387"/>
      <c r="AE30" s="387"/>
      <c r="AF30" s="33"/>
      <c r="AG30" s="33"/>
      <c r="AH30" s="33"/>
      <c r="AI30" s="33"/>
      <c r="AJ30" s="33"/>
      <c r="AK30" s="33"/>
      <c r="AL30" s="33"/>
      <c r="AM30" s="33"/>
      <c r="AN30" s="33"/>
      <c r="AO30" s="33"/>
      <c r="AP30" s="33"/>
      <c r="AY30" s="1"/>
    </row>
    <row r="31" spans="1:51" x14ac:dyDescent="0.3">
      <c r="A31" s="47"/>
      <c r="B31" s="43"/>
      <c r="C31" s="374"/>
      <c r="D31" s="41"/>
      <c r="E31" s="385"/>
      <c r="F31" s="385"/>
      <c r="G31" s="385"/>
      <c r="H31" s="385"/>
      <c r="I31" s="385"/>
      <c r="J31" s="385"/>
      <c r="K31" s="385"/>
      <c r="L31" s="385"/>
      <c r="M31" s="385"/>
      <c r="N31" s="385"/>
      <c r="O31" s="385"/>
      <c r="P31" s="385"/>
      <c r="Q31" s="385"/>
      <c r="R31" s="385"/>
      <c r="S31" s="392"/>
      <c r="T31" s="385"/>
      <c r="U31" s="48"/>
      <c r="V31" s="385"/>
      <c r="W31" s="385"/>
      <c r="X31" s="385"/>
      <c r="Y31" s="385"/>
      <c r="Z31" s="385"/>
      <c r="AA31" s="385"/>
      <c r="AB31" s="385"/>
      <c r="AC31" s="385"/>
      <c r="AD31" s="385"/>
      <c r="AE31" s="385"/>
      <c r="AF31" s="378"/>
      <c r="AG31" s="385"/>
      <c r="AH31" s="378"/>
      <c r="AI31" s="378"/>
      <c r="AJ31" s="378"/>
      <c r="AK31" s="48"/>
      <c r="AL31" s="48"/>
      <c r="AM31" s="378"/>
      <c r="AN31" s="33"/>
      <c r="AO31" s="33"/>
      <c r="AP31" s="33"/>
      <c r="AY31" s="1"/>
    </row>
    <row r="32" spans="1:51" x14ac:dyDescent="0.3">
      <c r="A32" s="24" t="s">
        <v>773</v>
      </c>
      <c r="B32" s="42"/>
      <c r="C32" s="41">
        <v>53747000</v>
      </c>
      <c r="D32" s="41">
        <v>30047210</v>
      </c>
      <c r="E32" s="385">
        <v>3697142</v>
      </c>
      <c r="F32" s="387">
        <v>12912581</v>
      </c>
      <c r="G32" s="388">
        <v>2988543</v>
      </c>
      <c r="H32" s="387">
        <v>1960373</v>
      </c>
      <c r="I32" s="387">
        <v>2003257</v>
      </c>
      <c r="J32" s="387">
        <v>762708</v>
      </c>
      <c r="K32" s="387">
        <v>1931274</v>
      </c>
      <c r="L32" s="387">
        <v>1815643</v>
      </c>
      <c r="M32" s="387"/>
      <c r="N32" s="387"/>
      <c r="O32" s="387">
        <v>1167035</v>
      </c>
      <c r="P32" s="387"/>
      <c r="Q32" s="387"/>
      <c r="R32" s="387">
        <v>17760471</v>
      </c>
      <c r="S32" s="391"/>
      <c r="T32" s="387"/>
      <c r="U32" s="387"/>
      <c r="V32" s="387"/>
      <c r="W32" s="387"/>
      <c r="X32" s="387"/>
      <c r="Y32" s="387"/>
      <c r="Z32" s="387">
        <v>1069016</v>
      </c>
      <c r="AA32" s="387">
        <v>906673</v>
      </c>
      <c r="AB32" s="387">
        <v>1476406</v>
      </c>
      <c r="AC32" s="387">
        <v>171533</v>
      </c>
      <c r="AD32" s="387"/>
      <c r="AE32" s="387"/>
      <c r="AF32" s="33"/>
      <c r="AG32" s="33"/>
      <c r="AH32" s="33"/>
      <c r="AI32" s="33"/>
      <c r="AJ32" s="33"/>
      <c r="AK32" s="33"/>
      <c r="AL32" s="33"/>
      <c r="AM32" s="378">
        <v>3124345</v>
      </c>
      <c r="AN32" s="33"/>
      <c r="AO32" s="33"/>
      <c r="AP32" s="33"/>
      <c r="AY32" s="1"/>
    </row>
    <row r="33" spans="1:51" x14ac:dyDescent="0.3">
      <c r="A33" s="38" t="s">
        <v>825</v>
      </c>
      <c r="B33" s="43"/>
      <c r="C33" s="41">
        <v>0</v>
      </c>
      <c r="D33" s="41">
        <v>0</v>
      </c>
      <c r="E33" s="387"/>
      <c r="F33" s="387"/>
      <c r="G33" s="388"/>
      <c r="H33" s="387"/>
      <c r="I33" s="387"/>
      <c r="J33" s="387"/>
      <c r="K33" s="387"/>
      <c r="L33" s="387"/>
      <c r="M33" s="387"/>
      <c r="N33" s="387"/>
      <c r="O33" s="387"/>
      <c r="P33" s="387"/>
      <c r="Q33" s="387"/>
      <c r="R33" s="387"/>
      <c r="S33" s="391"/>
      <c r="T33" s="387"/>
      <c r="U33" s="387"/>
      <c r="V33" s="387"/>
      <c r="W33" s="387"/>
      <c r="X33" s="387"/>
      <c r="Y33" s="387"/>
      <c r="Z33" s="387"/>
      <c r="AA33" s="387"/>
      <c r="AB33" s="387"/>
      <c r="AC33" s="387"/>
      <c r="AD33" s="387"/>
      <c r="AE33" s="387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Y33" s="1"/>
    </row>
    <row r="34" spans="1:51" x14ac:dyDescent="0.3">
      <c r="A34" s="38" t="s">
        <v>3454</v>
      </c>
      <c r="B34" s="43"/>
      <c r="C34" s="41">
        <v>136300000</v>
      </c>
      <c r="D34" s="41"/>
      <c r="E34" s="387">
        <v>9125848</v>
      </c>
      <c r="F34" s="387">
        <v>24468714</v>
      </c>
      <c r="G34" s="388">
        <v>6721204</v>
      </c>
      <c r="H34" s="387">
        <v>5536193</v>
      </c>
      <c r="I34" s="387">
        <v>6818185</v>
      </c>
      <c r="J34" s="387">
        <v>2485548</v>
      </c>
      <c r="K34" s="387">
        <v>5401843</v>
      </c>
      <c r="L34" s="387">
        <v>3539386</v>
      </c>
      <c r="M34" s="387">
        <v>922080</v>
      </c>
      <c r="N34" s="387"/>
      <c r="O34" s="387"/>
      <c r="P34" s="387"/>
      <c r="Q34" s="387"/>
      <c r="R34" s="387">
        <v>41844954</v>
      </c>
      <c r="S34" s="391"/>
      <c r="T34" s="387">
        <v>18432492</v>
      </c>
      <c r="U34" s="387"/>
      <c r="V34" s="387"/>
      <c r="W34" s="387"/>
      <c r="X34" s="387"/>
      <c r="Y34" s="387"/>
      <c r="Z34" s="387">
        <v>774276</v>
      </c>
      <c r="AA34" s="387">
        <v>1282776</v>
      </c>
      <c r="AB34" s="387">
        <v>2446224</v>
      </c>
      <c r="AC34" s="387">
        <v>555960</v>
      </c>
      <c r="AD34" s="387"/>
      <c r="AE34" s="387"/>
      <c r="AF34" s="33"/>
      <c r="AG34" s="33"/>
      <c r="AH34" s="33"/>
      <c r="AI34" s="33"/>
      <c r="AJ34" s="33"/>
      <c r="AK34" s="369"/>
      <c r="AL34" s="33"/>
      <c r="AM34" s="378">
        <v>5944317</v>
      </c>
      <c r="AN34" s="33"/>
      <c r="AO34" s="33"/>
      <c r="AP34" s="33"/>
      <c r="AY34" s="1"/>
    </row>
    <row r="35" spans="1:51" x14ac:dyDescent="0.3">
      <c r="A35" s="38" t="s">
        <v>826</v>
      </c>
      <c r="B35" s="43"/>
      <c r="C35" s="41">
        <v>37000000</v>
      </c>
      <c r="D35" s="41">
        <v>37000000</v>
      </c>
      <c r="E35" s="387"/>
      <c r="F35" s="387"/>
      <c r="G35" s="388"/>
      <c r="H35" s="387"/>
      <c r="I35" s="387"/>
      <c r="J35" s="387"/>
      <c r="K35" s="393">
        <v>37000000</v>
      </c>
      <c r="L35" s="387"/>
      <c r="M35" s="387"/>
      <c r="N35" s="387"/>
      <c r="O35" s="387"/>
      <c r="P35" s="387"/>
      <c r="Q35" s="387"/>
      <c r="R35" s="387"/>
      <c r="S35" s="391"/>
      <c r="T35" s="387"/>
      <c r="U35" s="387"/>
      <c r="V35" s="387"/>
      <c r="W35" s="387"/>
      <c r="X35" s="387"/>
      <c r="Y35" s="387"/>
      <c r="Z35" s="387"/>
      <c r="AA35" s="387"/>
      <c r="AB35" s="387"/>
      <c r="AC35" s="387"/>
      <c r="AD35" s="387"/>
      <c r="AE35" s="387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Y35" s="1"/>
    </row>
    <row r="36" spans="1:51" x14ac:dyDescent="0.3">
      <c r="A36" s="38" t="s">
        <v>827</v>
      </c>
      <c r="B36" s="49"/>
      <c r="C36" s="41">
        <v>0</v>
      </c>
      <c r="D36" s="41">
        <v>0</v>
      </c>
      <c r="E36" s="387"/>
      <c r="F36" s="387">
        <v>0</v>
      </c>
      <c r="G36" s="388"/>
      <c r="H36" s="387"/>
      <c r="I36" s="387"/>
      <c r="J36" s="387"/>
      <c r="K36" s="387"/>
      <c r="L36" s="387"/>
      <c r="M36" s="387"/>
      <c r="N36" s="387"/>
      <c r="O36" s="387"/>
      <c r="P36" s="387"/>
      <c r="Q36" s="387"/>
      <c r="R36" s="387"/>
      <c r="S36" s="391"/>
      <c r="T36" s="387"/>
      <c r="U36" s="387"/>
      <c r="V36" s="387"/>
      <c r="W36" s="387"/>
      <c r="X36" s="387"/>
      <c r="Y36" s="387"/>
      <c r="Z36" s="387"/>
      <c r="AA36" s="387"/>
      <c r="AB36" s="387"/>
      <c r="AC36" s="387"/>
      <c r="AD36" s="387"/>
      <c r="AE36" s="387"/>
      <c r="AF36" s="33"/>
      <c r="AG36" s="33"/>
      <c r="AH36" s="33"/>
      <c r="AI36" s="33"/>
      <c r="AJ36" s="33"/>
      <c r="AK36" s="33"/>
      <c r="AL36" s="21"/>
      <c r="AM36" s="21"/>
      <c r="AN36" s="21"/>
      <c r="AO36" s="21"/>
      <c r="AP36" s="21"/>
      <c r="AY36" s="1"/>
    </row>
    <row r="37" spans="1:51" x14ac:dyDescent="0.3">
      <c r="A37" s="38" t="s">
        <v>828</v>
      </c>
      <c r="B37" s="43"/>
      <c r="C37" s="41">
        <v>18700000</v>
      </c>
      <c r="D37" s="41"/>
      <c r="E37" s="387"/>
      <c r="F37" s="387"/>
      <c r="G37" s="388"/>
      <c r="H37" s="387"/>
      <c r="I37" s="387"/>
      <c r="J37" s="387"/>
      <c r="K37" s="387"/>
      <c r="L37" s="387"/>
      <c r="M37" s="387"/>
      <c r="N37" s="387"/>
      <c r="O37" s="387"/>
      <c r="P37" s="387"/>
      <c r="Q37" s="387"/>
      <c r="R37" s="387"/>
      <c r="S37" s="391"/>
      <c r="T37" s="387">
        <v>18700000</v>
      </c>
      <c r="U37" s="387"/>
      <c r="V37" s="387"/>
      <c r="W37" s="387"/>
      <c r="X37" s="387"/>
      <c r="Y37" s="387"/>
      <c r="Z37" s="387"/>
      <c r="AA37" s="387"/>
      <c r="AB37" s="387"/>
      <c r="AC37" s="387"/>
      <c r="AD37" s="387"/>
      <c r="AE37" s="387"/>
      <c r="AF37" s="33"/>
      <c r="AG37" s="33"/>
      <c r="AH37" s="33"/>
      <c r="AI37" s="33"/>
      <c r="AJ37" s="33"/>
      <c r="AK37" s="33"/>
      <c r="AL37" s="21"/>
      <c r="AM37" s="21"/>
      <c r="AN37" s="21"/>
      <c r="AO37" s="21"/>
      <c r="AP37" s="21"/>
      <c r="AY37" s="1"/>
    </row>
    <row r="38" spans="1:51" x14ac:dyDescent="0.3">
      <c r="A38" s="38" t="s">
        <v>3803</v>
      </c>
      <c r="B38" s="43"/>
      <c r="C38" s="41">
        <v>231200000</v>
      </c>
      <c r="D38" s="41"/>
      <c r="E38" s="387"/>
      <c r="F38" s="387"/>
      <c r="G38" s="388"/>
      <c r="H38" s="387"/>
      <c r="I38" s="387"/>
      <c r="J38" s="387"/>
      <c r="K38" s="387"/>
      <c r="L38" s="387"/>
      <c r="M38" s="387"/>
      <c r="N38" s="387"/>
      <c r="O38" s="387"/>
      <c r="P38" s="387"/>
      <c r="Q38" s="387"/>
      <c r="R38" s="387"/>
      <c r="S38" s="391"/>
      <c r="T38" s="387"/>
      <c r="U38" s="387"/>
      <c r="V38" s="387"/>
      <c r="W38" s="387">
        <v>183990000</v>
      </c>
      <c r="X38" s="387">
        <v>47210000</v>
      </c>
      <c r="Y38" s="387"/>
      <c r="Z38" s="387"/>
      <c r="AA38" s="387"/>
      <c r="AB38" s="387"/>
      <c r="AC38" s="387"/>
      <c r="AD38" s="387"/>
      <c r="AE38" s="387"/>
      <c r="AF38" s="33"/>
      <c r="AG38" s="33"/>
      <c r="AH38" s="33"/>
      <c r="AI38" s="33"/>
      <c r="AJ38" s="33"/>
      <c r="AK38" s="33"/>
      <c r="AL38" s="21"/>
      <c r="AM38" s="21"/>
      <c r="AN38" s="21"/>
      <c r="AO38" s="21"/>
      <c r="AP38" s="21"/>
      <c r="AY38" s="1"/>
    </row>
    <row r="39" spans="1:51" x14ac:dyDescent="0.3">
      <c r="A39" s="38" t="s">
        <v>3804</v>
      </c>
      <c r="C39" s="2">
        <v>692897000</v>
      </c>
      <c r="E39" s="50">
        <v>28448053</v>
      </c>
      <c r="F39" s="50">
        <v>89599494</v>
      </c>
      <c r="G39" s="50">
        <v>46965046</v>
      </c>
      <c r="H39" s="50">
        <v>20802665</v>
      </c>
      <c r="I39" s="50">
        <v>82250551</v>
      </c>
      <c r="J39" s="50">
        <v>43550769</v>
      </c>
      <c r="K39" s="50">
        <v>16670021</v>
      </c>
      <c r="L39" s="50">
        <v>10857832</v>
      </c>
      <c r="M39" s="50">
        <v>40723961</v>
      </c>
      <c r="N39" s="50">
        <v>10132456</v>
      </c>
      <c r="O39" s="50"/>
      <c r="P39" s="50"/>
      <c r="Q39" s="50"/>
      <c r="R39" s="50"/>
      <c r="S39" s="50"/>
      <c r="T39" s="50">
        <v>292897000</v>
      </c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>
        <v>4689629</v>
      </c>
      <c r="AG39" s="50">
        <v>3826847</v>
      </c>
      <c r="AH39" s="50">
        <v>1450225</v>
      </c>
      <c r="AI39" s="50">
        <v>32451</v>
      </c>
      <c r="AJ39" s="50"/>
      <c r="AK39" s="50"/>
      <c r="AL39" s="51"/>
      <c r="AM39" s="51"/>
      <c r="AN39" s="51"/>
      <c r="AO39" s="51"/>
      <c r="AP39" s="51"/>
      <c r="AY39" s="1"/>
    </row>
    <row r="40" spans="1:51" x14ac:dyDescent="0.3">
      <c r="A40" s="52" t="s">
        <v>3805</v>
      </c>
      <c r="C40" s="53">
        <v>900000</v>
      </c>
      <c r="D40" s="54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>
        <v>900000</v>
      </c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</row>
    <row r="41" spans="1:51" ht="20.399999999999999" x14ac:dyDescent="0.3">
      <c r="A41" s="52" t="s">
        <v>829</v>
      </c>
      <c r="C41" s="394">
        <v>0</v>
      </c>
      <c r="D41" s="56">
        <v>0</v>
      </c>
      <c r="E41" s="57"/>
      <c r="F41" s="57">
        <v>0</v>
      </c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 s="57"/>
      <c r="AA41" s="57"/>
      <c r="AB41" s="57"/>
      <c r="AC41" s="57"/>
      <c r="AD41" s="57"/>
      <c r="AE41" s="57"/>
      <c r="AF41" s="57"/>
      <c r="AG41" s="57"/>
      <c r="AH41" s="57"/>
      <c r="AI41" s="57"/>
      <c r="AJ41" s="57"/>
      <c r="AK41" s="57"/>
      <c r="AL41" s="57"/>
      <c r="AM41" s="57"/>
      <c r="AN41" s="57"/>
      <c r="AO41" s="57"/>
      <c r="AP41" s="57"/>
    </row>
    <row r="42" spans="1:51" x14ac:dyDescent="0.3">
      <c r="A42" s="395"/>
      <c r="B42" s="396"/>
      <c r="C42" s="397"/>
      <c r="D42" s="398"/>
      <c r="E42" s="399">
        <v>41271043</v>
      </c>
      <c r="F42" s="399">
        <v>350757602</v>
      </c>
      <c r="G42" s="399">
        <v>56674793</v>
      </c>
      <c r="H42" s="399">
        <v>28299231</v>
      </c>
      <c r="I42" s="399">
        <v>116571993</v>
      </c>
      <c r="J42" s="399">
        <v>53799025</v>
      </c>
      <c r="K42" s="399">
        <v>70224006</v>
      </c>
      <c r="L42" s="399">
        <v>28414120</v>
      </c>
      <c r="M42" s="399">
        <v>41646041</v>
      </c>
      <c r="N42" s="399">
        <v>51749516</v>
      </c>
      <c r="O42" s="399">
        <v>1167035</v>
      </c>
      <c r="P42" s="399">
        <v>0</v>
      </c>
      <c r="Q42" s="399">
        <v>0</v>
      </c>
      <c r="R42" s="399">
        <v>316820425</v>
      </c>
      <c r="S42" s="399">
        <v>0</v>
      </c>
      <c r="T42" s="399">
        <v>527213492</v>
      </c>
      <c r="U42" s="399">
        <v>0</v>
      </c>
      <c r="V42" s="399">
        <v>0</v>
      </c>
      <c r="W42" s="399">
        <v>219890000</v>
      </c>
      <c r="X42" s="399">
        <v>47210000</v>
      </c>
      <c r="Y42" s="399">
        <v>500641000</v>
      </c>
      <c r="Z42" s="399">
        <v>1843292</v>
      </c>
      <c r="AA42" s="399">
        <v>2189449</v>
      </c>
      <c r="AB42" s="399"/>
      <c r="AC42" s="399">
        <v>727493</v>
      </c>
      <c r="AD42" s="399">
        <v>0</v>
      </c>
      <c r="AE42" s="399">
        <v>0</v>
      </c>
      <c r="AF42" s="399">
        <v>4689629</v>
      </c>
      <c r="AG42" s="399">
        <v>3826847</v>
      </c>
      <c r="AH42" s="399">
        <v>1450225</v>
      </c>
      <c r="AI42" s="399"/>
      <c r="AJ42" s="399">
        <v>4000000</v>
      </c>
      <c r="AK42" s="399">
        <v>0</v>
      </c>
      <c r="AL42" s="399"/>
      <c r="AM42" s="399"/>
      <c r="AN42" s="399"/>
      <c r="AO42" s="399"/>
      <c r="AP42" s="57"/>
    </row>
    <row r="43" spans="1:51" x14ac:dyDescent="0.3">
      <c r="A43" s="58" t="s">
        <v>830</v>
      </c>
      <c r="C43" s="394">
        <v>5051676000</v>
      </c>
      <c r="D43" s="56"/>
      <c r="E43" s="57">
        <v>161130114</v>
      </c>
      <c r="F43" s="57">
        <v>1249775965.0078604</v>
      </c>
      <c r="G43" s="57">
        <v>201018812</v>
      </c>
      <c r="H43" s="57">
        <v>137898779.29182881</v>
      </c>
      <c r="I43" s="57">
        <v>642052681</v>
      </c>
      <c r="J43" s="57">
        <v>158829792</v>
      </c>
      <c r="K43" s="57">
        <v>154690869</v>
      </c>
      <c r="L43" s="57">
        <v>147171871.0301258</v>
      </c>
      <c r="M43" s="57">
        <v>46447928</v>
      </c>
      <c r="N43" s="57">
        <v>274229241.67018491</v>
      </c>
      <c r="O43" s="57">
        <v>10270115</v>
      </c>
      <c r="P43" s="57">
        <v>63842053</v>
      </c>
      <c r="Q43" s="57">
        <v>0</v>
      </c>
      <c r="R43" s="57">
        <v>327220712</v>
      </c>
      <c r="S43" s="57">
        <v>0</v>
      </c>
      <c r="T43" s="57">
        <v>535593406</v>
      </c>
      <c r="U43" s="57">
        <v>3860093</v>
      </c>
      <c r="V43" s="57">
        <v>0</v>
      </c>
      <c r="W43" s="57">
        <v>289589343</v>
      </c>
      <c r="X43" s="57">
        <v>59934717</v>
      </c>
      <c r="Y43" s="57">
        <v>500641000</v>
      </c>
      <c r="Z43" s="57">
        <v>3657054</v>
      </c>
      <c r="AA43" s="57">
        <v>5369700</v>
      </c>
      <c r="AB43" s="57">
        <v>4238302</v>
      </c>
      <c r="AC43" s="57">
        <v>4978136</v>
      </c>
      <c r="AD43" s="57">
        <v>694714</v>
      </c>
      <c r="AE43" s="57">
        <v>4633659</v>
      </c>
      <c r="AF43" s="57">
        <v>29189674</v>
      </c>
      <c r="AG43" s="57">
        <v>6637031</v>
      </c>
      <c r="AH43" s="57">
        <v>7977225</v>
      </c>
      <c r="AI43" s="57"/>
      <c r="AJ43" s="57">
        <v>4000000</v>
      </c>
      <c r="AK43" s="57">
        <v>0</v>
      </c>
      <c r="AL43" s="57">
        <v>821362</v>
      </c>
      <c r="AM43" s="57">
        <v>10305392</v>
      </c>
      <c r="AN43" s="57">
        <v>839207</v>
      </c>
      <c r="AO43" s="57">
        <v>4104601</v>
      </c>
      <c r="AP43" s="57">
        <v>0</v>
      </c>
    </row>
    <row r="44" spans="1:51" x14ac:dyDescent="0.3">
      <c r="A44" t="s">
        <v>831</v>
      </c>
      <c r="C44" s="394">
        <v>3331374549</v>
      </c>
      <c r="D44" s="56"/>
      <c r="E44" s="57">
        <v>51816171</v>
      </c>
      <c r="F44" s="57">
        <v>649311484.00786042</v>
      </c>
      <c r="G44" s="57">
        <v>61791818</v>
      </c>
      <c r="H44" s="57">
        <v>50702617.291828811</v>
      </c>
      <c r="I44" s="57">
        <v>225494219</v>
      </c>
      <c r="J44" s="57">
        <v>57685292</v>
      </c>
      <c r="K44" s="57">
        <v>79821628</v>
      </c>
      <c r="L44" s="57">
        <v>83181363.030125797</v>
      </c>
      <c r="M44" s="57">
        <v>41646041</v>
      </c>
      <c r="N44" s="57">
        <v>194392241.67018491</v>
      </c>
      <c r="O44" s="57">
        <v>8897978</v>
      </c>
      <c r="P44" s="57">
        <v>63842053</v>
      </c>
      <c r="Q44" s="57">
        <v>0</v>
      </c>
      <c r="R44" s="57">
        <v>327220712</v>
      </c>
      <c r="S44" s="57">
        <v>0</v>
      </c>
      <c r="T44" s="57">
        <v>535593406</v>
      </c>
      <c r="U44" s="57">
        <v>3860093</v>
      </c>
      <c r="V44" s="57">
        <v>0</v>
      </c>
      <c r="W44" s="57">
        <v>289589343</v>
      </c>
      <c r="X44" s="57">
        <v>59934717</v>
      </c>
      <c r="Y44" s="57">
        <v>500641000</v>
      </c>
      <c r="Z44" s="57">
        <v>3657054</v>
      </c>
      <c r="AA44" s="57">
        <v>3817575</v>
      </c>
      <c r="AB44" s="57">
        <v>4238302</v>
      </c>
      <c r="AC44" s="57">
        <v>3093413</v>
      </c>
      <c r="AD44" s="57">
        <v>0</v>
      </c>
      <c r="AE44" s="57">
        <v>441536</v>
      </c>
      <c r="AF44" s="57">
        <v>5110674</v>
      </c>
      <c r="AG44" s="57">
        <v>4073031</v>
      </c>
      <c r="AH44" s="57">
        <v>1450225</v>
      </c>
      <c r="AI44" s="57"/>
      <c r="AJ44" s="57">
        <v>4000000</v>
      </c>
      <c r="AK44" s="57">
        <v>0</v>
      </c>
      <c r="AL44" s="56">
        <v>821362</v>
      </c>
      <c r="AM44" s="56">
        <v>10305392</v>
      </c>
      <c r="AN44" s="56">
        <v>839207</v>
      </c>
      <c r="AO44" s="56">
        <v>4104601</v>
      </c>
      <c r="AP44" s="56">
        <v>0</v>
      </c>
    </row>
    <row r="45" spans="1:51" x14ac:dyDescent="0.3">
      <c r="A45" s="27" t="s">
        <v>3455</v>
      </c>
      <c r="B45" s="27"/>
      <c r="C45" s="394">
        <v>3331374549</v>
      </c>
      <c r="D45" s="59"/>
      <c r="E45" s="59">
        <v>51816171</v>
      </c>
      <c r="F45" s="59">
        <v>649311484.00786042</v>
      </c>
      <c r="G45" s="59">
        <v>61791818</v>
      </c>
      <c r="H45" s="59">
        <v>50702617.291828811</v>
      </c>
      <c r="I45" s="59">
        <v>225494219</v>
      </c>
      <c r="J45" s="59">
        <v>57685292</v>
      </c>
      <c r="K45" s="59">
        <v>79821628</v>
      </c>
      <c r="L45" s="59">
        <v>83181363.030125797</v>
      </c>
      <c r="M45" s="59">
        <v>41646041</v>
      </c>
      <c r="N45" s="59">
        <v>194392241.67018491</v>
      </c>
      <c r="O45" s="59">
        <v>8897978</v>
      </c>
      <c r="P45" s="59">
        <v>63842053</v>
      </c>
      <c r="Q45" s="59">
        <v>0</v>
      </c>
      <c r="R45" s="59">
        <v>327220712</v>
      </c>
      <c r="S45" s="59">
        <v>0</v>
      </c>
      <c r="T45" s="59">
        <v>535593406</v>
      </c>
      <c r="U45" s="59">
        <v>3860093</v>
      </c>
      <c r="V45" s="59">
        <v>0</v>
      </c>
      <c r="W45" s="59">
        <v>289589343</v>
      </c>
      <c r="X45" s="59">
        <v>59934717</v>
      </c>
      <c r="Y45" s="59">
        <v>500641000</v>
      </c>
      <c r="Z45" s="59">
        <v>3657054</v>
      </c>
      <c r="AA45" s="59">
        <v>3817575</v>
      </c>
      <c r="AB45" s="59">
        <v>4238302</v>
      </c>
      <c r="AC45" s="59">
        <v>3093413</v>
      </c>
      <c r="AD45" s="59">
        <v>0</v>
      </c>
      <c r="AE45" s="59">
        <v>441536</v>
      </c>
      <c r="AF45" s="59">
        <v>5110674</v>
      </c>
      <c r="AG45" s="59">
        <v>4073031</v>
      </c>
      <c r="AH45" s="59">
        <v>1450225</v>
      </c>
      <c r="AI45" s="59">
        <v>0</v>
      </c>
      <c r="AJ45" s="59">
        <v>4000000</v>
      </c>
      <c r="AK45" s="59">
        <v>0</v>
      </c>
      <c r="AL45" s="59">
        <v>821362</v>
      </c>
      <c r="AM45" s="59">
        <v>10305392</v>
      </c>
      <c r="AN45" s="59">
        <v>839207</v>
      </c>
      <c r="AO45" s="59">
        <v>4104601</v>
      </c>
      <c r="AP45" s="59"/>
    </row>
    <row r="46" spans="1:51" x14ac:dyDescent="0.3">
      <c r="A46" s="44" t="s">
        <v>832</v>
      </c>
      <c r="B46" s="60"/>
      <c r="C46" s="394">
        <v>92000000</v>
      </c>
      <c r="D46" s="400"/>
      <c r="E46" s="401"/>
      <c r="F46" s="402">
        <v>1000000</v>
      </c>
      <c r="G46" s="403"/>
      <c r="H46" s="402"/>
      <c r="I46" s="402">
        <v>25500000</v>
      </c>
      <c r="J46" s="402">
        <v>7000000</v>
      </c>
      <c r="K46" s="402">
        <v>37000000</v>
      </c>
      <c r="L46" s="402"/>
      <c r="M46" s="402"/>
      <c r="N46" s="402">
        <v>21500000</v>
      </c>
      <c r="O46" s="402"/>
      <c r="P46" s="402"/>
      <c r="Q46" s="402"/>
      <c r="R46" s="402"/>
      <c r="S46" s="404"/>
      <c r="T46" s="405"/>
      <c r="U46" s="402"/>
      <c r="V46" s="402"/>
      <c r="W46" s="402"/>
      <c r="X46" s="402"/>
      <c r="Y46" s="402"/>
      <c r="Z46" s="402"/>
      <c r="AA46" s="402"/>
      <c r="AB46" s="402"/>
      <c r="AC46" s="402"/>
      <c r="AD46" s="402"/>
      <c r="AE46" s="401"/>
      <c r="AF46" s="61"/>
      <c r="AG46" s="61"/>
      <c r="AH46" s="61"/>
      <c r="AI46" s="61"/>
      <c r="AJ46" s="61"/>
      <c r="AK46" s="61"/>
      <c r="AL46" s="62"/>
      <c r="AM46" s="62"/>
      <c r="AN46" s="62"/>
      <c r="AO46" s="62"/>
      <c r="AP46" s="62"/>
    </row>
    <row r="47" spans="1:51" x14ac:dyDescent="0.3">
      <c r="C47" s="394">
        <v>0</v>
      </c>
      <c r="D47" s="302"/>
    </row>
    <row r="48" spans="1:51" x14ac:dyDescent="0.3">
      <c r="A48" s="64" t="s">
        <v>833</v>
      </c>
      <c r="B48" s="64"/>
      <c r="C48" s="394">
        <v>0</v>
      </c>
    </row>
    <row r="49" spans="1:42" x14ac:dyDescent="0.3">
      <c r="A49" t="s">
        <v>834</v>
      </c>
      <c r="B49" t="s">
        <v>835</v>
      </c>
      <c r="C49" s="394">
        <v>0</v>
      </c>
      <c r="D49">
        <v>0</v>
      </c>
      <c r="E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Y49">
        <v>0</v>
      </c>
      <c r="Z49">
        <v>0</v>
      </c>
      <c r="AA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J49">
        <v>0</v>
      </c>
      <c r="AK49">
        <v>0</v>
      </c>
      <c r="AL49">
        <v>0</v>
      </c>
      <c r="AP49">
        <v>0</v>
      </c>
    </row>
    <row r="50" spans="1:42" x14ac:dyDescent="0.3">
      <c r="C50" s="394">
        <v>70000000</v>
      </c>
      <c r="D50">
        <v>627689337.32981515</v>
      </c>
      <c r="O50">
        <v>70000000</v>
      </c>
    </row>
    <row r="51" spans="1:42" x14ac:dyDescent="0.3">
      <c r="A51" t="s">
        <v>836</v>
      </c>
      <c r="C51" s="394">
        <v>0</v>
      </c>
    </row>
    <row r="52" spans="1:42" x14ac:dyDescent="0.3">
      <c r="C52" s="394">
        <v>0</v>
      </c>
      <c r="E52" s="65"/>
      <c r="F52" s="65"/>
    </row>
    <row r="53" spans="1:42" x14ac:dyDescent="0.3">
      <c r="C53" s="394">
        <v>0</v>
      </c>
      <c r="E53" s="65"/>
      <c r="F53" s="65"/>
    </row>
    <row r="54" spans="1:42" x14ac:dyDescent="0.3">
      <c r="C54" s="394">
        <v>0</v>
      </c>
      <c r="E54" s="65" t="s">
        <v>726</v>
      </c>
      <c r="F54" s="65" t="s">
        <v>741</v>
      </c>
    </row>
    <row r="55" spans="1:42" x14ac:dyDescent="0.3">
      <c r="C55" s="394">
        <v>9109.6911209534828</v>
      </c>
      <c r="E55" s="65">
        <v>9109.6911209534828</v>
      </c>
      <c r="F55" s="65">
        <v>0</v>
      </c>
    </row>
    <row r="56" spans="1:42" x14ac:dyDescent="0.3">
      <c r="C56" s="394">
        <v>56486509.860261358</v>
      </c>
      <c r="E56" s="65">
        <v>56486509.860261358</v>
      </c>
      <c r="F56" s="65">
        <v>0</v>
      </c>
    </row>
    <row r="57" spans="1:42" x14ac:dyDescent="0.3">
      <c r="C57" s="394">
        <v>48901522.008398861</v>
      </c>
      <c r="E57" s="65">
        <v>48901522.008398861</v>
      </c>
      <c r="F57" s="65">
        <v>0</v>
      </c>
    </row>
    <row r="58" spans="1:42" x14ac:dyDescent="0.3">
      <c r="C58" s="394">
        <v>222799.02999104754</v>
      </c>
      <c r="E58" s="65">
        <v>222799.02999104754</v>
      </c>
      <c r="F58" s="65">
        <v>0</v>
      </c>
    </row>
    <row r="59" spans="1:42" x14ac:dyDescent="0.3">
      <c r="C59" s="394">
        <v>93717030.798648</v>
      </c>
      <c r="E59" s="65">
        <v>80138961.483341306</v>
      </c>
      <c r="F59" s="65">
        <v>13578069.315306701</v>
      </c>
    </row>
    <row r="60" spans="1:42" x14ac:dyDescent="0.3">
      <c r="C60" s="394">
        <v>17666604.066049241</v>
      </c>
      <c r="E60" s="65">
        <v>9060245.3454008196</v>
      </c>
      <c r="F60" s="65">
        <v>8606358.720648421</v>
      </c>
    </row>
    <row r="61" spans="1:42" x14ac:dyDescent="0.3">
      <c r="C61" s="394">
        <v>156817.66948474507</v>
      </c>
      <c r="E61" s="65">
        <v>153164.27337968379</v>
      </c>
      <c r="F61" s="65">
        <v>3653.3961050612952</v>
      </c>
    </row>
    <row r="62" spans="1:42" x14ac:dyDescent="0.3">
      <c r="C62" s="394">
        <v>62626962.66919405</v>
      </c>
      <c r="E62" s="65">
        <v>62626962.66919405</v>
      </c>
      <c r="F62" s="65">
        <v>0</v>
      </c>
    </row>
    <row r="63" spans="1:42" x14ac:dyDescent="0.3">
      <c r="C63" s="394">
        <v>6386886.7424486317</v>
      </c>
      <c r="E63" s="65">
        <v>6386886.7424486317</v>
      </c>
      <c r="F63" s="65"/>
    </row>
    <row r="64" spans="1:42" x14ac:dyDescent="0.3">
      <c r="C64" s="394">
        <v>416133.78273504396</v>
      </c>
      <c r="E64" s="1"/>
      <c r="F64" s="1">
        <v>416133.78273504396</v>
      </c>
    </row>
    <row r="65" spans="1:42" x14ac:dyDescent="0.3">
      <c r="C65" s="394">
        <v>15504926.425125612</v>
      </c>
      <c r="E65">
        <v>15504926.425125612</v>
      </c>
      <c r="F65" s="1"/>
    </row>
    <row r="66" spans="1:42" x14ac:dyDescent="0.3">
      <c r="C66" s="394">
        <v>12604697.256542465</v>
      </c>
      <c r="F66">
        <v>12604697.256542465</v>
      </c>
    </row>
    <row r="67" spans="1:42" x14ac:dyDescent="0.3">
      <c r="A67" s="35"/>
      <c r="B67" s="36"/>
      <c r="C67" s="394">
        <v>314699999.99999994</v>
      </c>
      <c r="D67" s="32"/>
      <c r="E67" s="369">
        <v>279491087.52866226</v>
      </c>
      <c r="F67" s="369">
        <v>35208912.471337691</v>
      </c>
      <c r="G67" s="369"/>
      <c r="H67" s="369"/>
      <c r="I67" s="369"/>
      <c r="J67" s="369"/>
      <c r="K67" s="369"/>
      <c r="L67" s="369"/>
      <c r="M67" s="369"/>
      <c r="N67" s="369"/>
      <c r="O67" s="33"/>
      <c r="P67" s="369"/>
      <c r="Q67" s="34"/>
      <c r="R67" s="33"/>
      <c r="S67" s="33"/>
      <c r="T67" s="33"/>
      <c r="U67" s="33"/>
      <c r="V67" s="33"/>
      <c r="W67" s="33"/>
      <c r="X67" s="371"/>
      <c r="Y67" s="369"/>
      <c r="Z67" s="369"/>
      <c r="AA67" s="369"/>
      <c r="AB67" s="369"/>
      <c r="AC67" s="369"/>
      <c r="AD67" s="369"/>
      <c r="AE67" s="371"/>
      <c r="AF67" s="33"/>
      <c r="AG67" s="369"/>
      <c r="AH67" s="33"/>
      <c r="AI67" s="33"/>
      <c r="AJ67" s="33"/>
      <c r="AK67" s="33"/>
      <c r="AL67" s="33"/>
      <c r="AM67" s="33"/>
      <c r="AN67" s="33"/>
      <c r="AO67" s="33"/>
      <c r="AP67" s="33"/>
    </row>
    <row r="68" spans="1:42" x14ac:dyDescent="0.3">
      <c r="A68" s="47"/>
      <c r="B68" s="43"/>
      <c r="C68" s="394">
        <v>314699999.99999994</v>
      </c>
      <c r="D68" s="41"/>
      <c r="E68" s="385"/>
      <c r="F68" s="385">
        <v>314699999.99999994</v>
      </c>
      <c r="G68" s="385"/>
      <c r="H68" s="385"/>
      <c r="I68" s="385"/>
      <c r="J68" s="385"/>
      <c r="K68" s="385"/>
      <c r="L68" s="385"/>
      <c r="M68" s="385"/>
      <c r="N68" s="385"/>
      <c r="O68" s="385"/>
      <c r="P68" s="385"/>
      <c r="Q68" s="385"/>
      <c r="R68" s="385"/>
      <c r="S68" s="392"/>
      <c r="T68" s="385"/>
      <c r="U68" s="48"/>
      <c r="V68" s="385"/>
      <c r="W68" s="385"/>
      <c r="X68" s="385"/>
      <c r="Y68" s="385"/>
      <c r="Z68" s="385"/>
      <c r="AA68" s="385"/>
      <c r="AB68" s="385"/>
      <c r="AC68" s="385"/>
      <c r="AD68" s="385"/>
      <c r="AE68" s="385"/>
      <c r="AF68" s="378"/>
      <c r="AG68" s="385"/>
      <c r="AH68" s="378"/>
      <c r="AI68" s="378"/>
      <c r="AJ68" s="378"/>
      <c r="AK68" s="48"/>
      <c r="AL68" s="48"/>
      <c r="AM68" s="378"/>
      <c r="AN68" s="33"/>
      <c r="AO68" s="33"/>
      <c r="AP68" s="33"/>
    </row>
    <row r="69" spans="1:42" x14ac:dyDescent="0.3">
      <c r="C69" s="394">
        <v>0</v>
      </c>
    </row>
    <row r="70" spans="1:42" x14ac:dyDescent="0.3">
      <c r="A70" t="s">
        <v>837</v>
      </c>
      <c r="C70" s="394">
        <v>130000000</v>
      </c>
      <c r="E70" s="302"/>
      <c r="F70" s="302"/>
      <c r="G70" s="302"/>
      <c r="H70" s="302"/>
      <c r="I70" s="302"/>
      <c r="J70" s="302"/>
      <c r="K70" s="302"/>
      <c r="L70" s="302"/>
      <c r="M70" s="302"/>
      <c r="N70" s="302"/>
      <c r="O70" s="302"/>
      <c r="P70" s="302"/>
      <c r="Q70" s="302"/>
      <c r="R70" s="302"/>
      <c r="S70" s="302"/>
      <c r="T70" s="302"/>
      <c r="U70" s="302"/>
      <c r="V70" s="302"/>
      <c r="W70" s="302"/>
      <c r="X70" s="302"/>
      <c r="Y70" s="302"/>
      <c r="Z70" s="302"/>
      <c r="AA70" s="302"/>
      <c r="AB70" s="302"/>
      <c r="AC70" s="302"/>
      <c r="AD70" s="302"/>
      <c r="AE70" s="302">
        <v>0</v>
      </c>
      <c r="AF70" s="302"/>
      <c r="AG70" s="302">
        <v>130000000</v>
      </c>
      <c r="AH70" s="302"/>
      <c r="AI70" s="302"/>
      <c r="AJ70" s="302"/>
      <c r="AK70" s="302"/>
      <c r="AL70" s="302"/>
      <c r="AM70" s="302"/>
      <c r="AN70" s="302"/>
      <c r="AO70" s="302"/>
      <c r="AP70" s="302"/>
    </row>
    <row r="71" spans="1:42" x14ac:dyDescent="0.3">
      <c r="C71" s="394">
        <v>0</v>
      </c>
      <c r="E71" s="302"/>
      <c r="F71" s="302"/>
      <c r="G71" s="302"/>
      <c r="H71" s="302"/>
      <c r="I71" s="302"/>
      <c r="J71" s="302"/>
      <c r="K71" s="302"/>
      <c r="L71" s="302"/>
      <c r="M71" s="302"/>
      <c r="N71" s="302"/>
      <c r="O71" s="302"/>
      <c r="P71" s="302"/>
      <c r="Q71" s="302"/>
      <c r="R71" s="302"/>
      <c r="S71" s="302"/>
      <c r="T71" s="302"/>
      <c r="U71" s="302"/>
      <c r="V71" s="302"/>
      <c r="W71" s="302"/>
      <c r="X71" s="302"/>
      <c r="Y71" s="302"/>
      <c r="Z71" s="302"/>
      <c r="AA71" s="302"/>
      <c r="AB71" s="302"/>
      <c r="AC71" s="302"/>
      <c r="AD71" s="302"/>
      <c r="AE71" s="302"/>
      <c r="AF71" s="302"/>
      <c r="AG71" s="302"/>
      <c r="AH71" s="302"/>
      <c r="AI71" s="302"/>
      <c r="AJ71" s="302"/>
      <c r="AK71" s="302"/>
      <c r="AL71" s="302"/>
      <c r="AM71" s="302"/>
      <c r="AN71" s="302"/>
      <c r="AO71" s="302"/>
    </row>
    <row r="72" spans="1:42" x14ac:dyDescent="0.3">
      <c r="C72">
        <v>0</v>
      </c>
    </row>
    <row r="73" spans="1:42" x14ac:dyDescent="0.3">
      <c r="A73" t="s">
        <v>3456</v>
      </c>
      <c r="C73">
        <v>279380904.67596298</v>
      </c>
      <c r="E73">
        <v>10363234.200000001</v>
      </c>
      <c r="F73">
        <v>129862296.80157208</v>
      </c>
      <c r="G73">
        <v>12358363.600000001</v>
      </c>
      <c r="H73">
        <v>10140523.458365763</v>
      </c>
      <c r="I73">
        <v>45098843.800000004</v>
      </c>
      <c r="J73">
        <v>11537058.4</v>
      </c>
      <c r="K73">
        <v>12264325.600000001</v>
      </c>
      <c r="L73">
        <v>16636272.606025159</v>
      </c>
      <c r="M73">
        <v>8329208.2000000002</v>
      </c>
      <c r="S73">
        <v>0</v>
      </c>
      <c r="U73">
        <v>772018.60000000009</v>
      </c>
      <c r="V73">
        <v>0</v>
      </c>
      <c r="W73">
        <v>20271254.010000002</v>
      </c>
      <c r="Z73">
        <v>731410.8</v>
      </c>
      <c r="AA73">
        <v>763515</v>
      </c>
      <c r="AD73">
        <v>0</v>
      </c>
      <c r="AE73">
        <v>88307.200000000012</v>
      </c>
      <c r="AL73">
        <v>164272.40000000002</v>
      </c>
      <c r="AP73">
        <v>0</v>
      </c>
    </row>
    <row r="74" spans="1:42" x14ac:dyDescent="0.3">
      <c r="A74" t="s">
        <v>3457</v>
      </c>
      <c r="C74">
        <v>45466162.274036981</v>
      </c>
      <c r="N74">
        <v>38878448.334036984</v>
      </c>
      <c r="S74">
        <v>0</v>
      </c>
      <c r="X74">
        <v>4195430.1900000004</v>
      </c>
      <c r="AD74">
        <v>0</v>
      </c>
      <c r="AF74">
        <v>1022134.8</v>
      </c>
      <c r="AG74">
        <v>814606.20000000007</v>
      </c>
      <c r="AH74">
        <v>275542.75</v>
      </c>
      <c r="AI74">
        <v>0</v>
      </c>
      <c r="AJ74">
        <v>280000</v>
      </c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7"/>
  <sheetViews>
    <sheetView zoomScale="80" zoomScaleNormal="80" workbookViewId="0">
      <pane ySplit="9" topLeftCell="A10" activePane="bottomLeft" state="frozen"/>
      <selection pane="bottomLeft" activeCell="H38" sqref="H38"/>
    </sheetView>
  </sheetViews>
  <sheetFormatPr defaultColWidth="9.109375" defaultRowHeight="15.6" x14ac:dyDescent="0.3"/>
  <cols>
    <col min="1" max="1" width="30.44140625" style="71" bestFit="1" customWidth="1"/>
    <col min="2" max="2" width="19.33203125" style="71" bestFit="1" customWidth="1"/>
    <col min="3" max="4" width="30.109375" style="71" customWidth="1"/>
    <col min="5" max="5" width="20.109375" style="73" customWidth="1"/>
    <col min="6" max="6" width="20.88671875" style="73" customWidth="1"/>
    <col min="7" max="7" width="13.33203125" style="73" customWidth="1"/>
    <col min="8" max="8" width="16.21875" style="73" customWidth="1"/>
    <col min="9" max="9" width="13.44140625" style="71" bestFit="1" customWidth="1"/>
    <col min="10" max="10" width="14.88671875" style="71" bestFit="1" customWidth="1"/>
    <col min="11" max="11" width="16" style="71" bestFit="1" customWidth="1"/>
    <col min="12" max="16384" width="9.109375" style="71"/>
  </cols>
  <sheetData>
    <row r="1" spans="1:11" ht="27.75" customHeight="1" x14ac:dyDescent="0.3">
      <c r="A1" s="4" t="s">
        <v>1338</v>
      </c>
      <c r="B1" s="73"/>
      <c r="C1" s="73"/>
      <c r="D1" s="73"/>
      <c r="F1" s="71"/>
      <c r="G1" s="71"/>
      <c r="H1" s="71"/>
    </row>
    <row r="2" spans="1:11" ht="15.75" customHeight="1" x14ac:dyDescent="0.3">
      <c r="A2" s="1086" t="s">
        <v>1090</v>
      </c>
      <c r="B2" s="1086"/>
      <c r="C2" s="1086"/>
      <c r="D2" s="1086"/>
      <c r="E2" s="1086"/>
      <c r="F2" s="1086"/>
      <c r="G2" s="1086"/>
      <c r="H2" s="78"/>
    </row>
    <row r="3" spans="1:11" x14ac:dyDescent="0.3">
      <c r="A3" s="1086"/>
      <c r="B3" s="1086"/>
      <c r="C3" s="1086"/>
      <c r="D3" s="1086"/>
      <c r="E3" s="1086"/>
      <c r="F3" s="1086"/>
      <c r="G3" s="1086"/>
      <c r="H3" s="78"/>
    </row>
    <row r="4" spans="1:11" x14ac:dyDescent="0.3">
      <c r="A4" s="533"/>
      <c r="B4" s="533"/>
      <c r="C4" s="533"/>
      <c r="D4" s="533"/>
      <c r="E4" s="533"/>
      <c r="F4" s="533"/>
      <c r="G4" s="533"/>
      <c r="H4" s="533"/>
    </row>
    <row r="5" spans="1:11" x14ac:dyDescent="0.3">
      <c r="A5" s="533" t="s">
        <v>715</v>
      </c>
      <c r="B5" s="533" t="s">
        <v>716</v>
      </c>
      <c r="C5" s="533"/>
      <c r="D5" s="533"/>
      <c r="E5" s="533"/>
      <c r="F5" s="533"/>
      <c r="G5" s="533"/>
      <c r="H5" s="533"/>
    </row>
    <row r="6" spans="1:11" x14ac:dyDescent="0.3">
      <c r="A6" s="71" t="s">
        <v>717</v>
      </c>
      <c r="B6" s="71" t="s">
        <v>114</v>
      </c>
    </row>
    <row r="7" spans="1:11" x14ac:dyDescent="0.3">
      <c r="A7" s="71" t="s">
        <v>719</v>
      </c>
      <c r="B7" s="71" t="s">
        <v>3469</v>
      </c>
    </row>
    <row r="9" spans="1:11" ht="31.2" x14ac:dyDescent="0.3">
      <c r="A9" s="431" t="s">
        <v>1092</v>
      </c>
      <c r="B9" s="431" t="s">
        <v>718</v>
      </c>
      <c r="C9" s="431" t="s">
        <v>724</v>
      </c>
      <c r="D9" s="432" t="s">
        <v>3492</v>
      </c>
      <c r="E9" s="433" t="s">
        <v>721</v>
      </c>
      <c r="F9" s="433" t="s">
        <v>720</v>
      </c>
      <c r="G9" s="433" t="s">
        <v>723</v>
      </c>
      <c r="H9" s="433" t="s">
        <v>722</v>
      </c>
      <c r="I9" s="630" t="s">
        <v>3799</v>
      </c>
      <c r="J9" s="631" t="s">
        <v>121</v>
      </c>
      <c r="K9" s="631" t="s">
        <v>3798</v>
      </c>
    </row>
    <row r="10" spans="1:11" x14ac:dyDescent="0.3">
      <c r="A10" s="71" t="s">
        <v>729</v>
      </c>
      <c r="B10" s="71" t="s">
        <v>726</v>
      </c>
      <c r="C10" s="629" t="s">
        <v>3800</v>
      </c>
      <c r="D10" s="629" t="s">
        <v>3800</v>
      </c>
      <c r="E10" s="73">
        <v>0</v>
      </c>
      <c r="F10" s="73">
        <v>198692.35233625077</v>
      </c>
      <c r="G10" s="73">
        <v>0</v>
      </c>
      <c r="H10" s="73">
        <v>19810.919275392615</v>
      </c>
      <c r="I10" s="434">
        <f>F10*'3.a'!$H$2</f>
        <v>185726.01510600158</v>
      </c>
      <c r="J10" s="71" t="str">
        <f>MID(D10,6,50)</f>
        <v>sz</v>
      </c>
      <c r="K10" s="71">
        <f>COUNTIF('1 kari főtábla'!$1:$1,D10)</f>
        <v>0</v>
      </c>
    </row>
    <row r="11" spans="1:11" x14ac:dyDescent="0.3">
      <c r="A11" s="71" t="s">
        <v>729</v>
      </c>
      <c r="B11" s="71" t="s">
        <v>1115</v>
      </c>
      <c r="D11" s="628" t="e">
        <v>#N/A</v>
      </c>
      <c r="E11" s="73">
        <v>0</v>
      </c>
      <c r="F11" s="73">
        <v>198692.35233625077</v>
      </c>
      <c r="G11" s="73">
        <v>0</v>
      </c>
      <c r="H11" s="73">
        <v>19810.919275392615</v>
      </c>
      <c r="I11" s="434">
        <f>F11*'3.a'!$H$2</f>
        <v>185726.01510600158</v>
      </c>
      <c r="J11" s="71" t="e">
        <f t="shared" ref="J11:J23" si="0">MID(D11,6,50)</f>
        <v>#N/A</v>
      </c>
      <c r="K11" s="71">
        <f>COUNTIF('1 kari főtábla'!$1:$1,D11)</f>
        <v>0</v>
      </c>
    </row>
    <row r="12" spans="1:11" x14ac:dyDescent="0.3">
      <c r="A12" s="71" t="s">
        <v>729</v>
      </c>
      <c r="B12" s="71" t="s">
        <v>741</v>
      </c>
      <c r="C12" s="71" t="s">
        <v>1116</v>
      </c>
      <c r="D12" s="628" t="s">
        <v>2865</v>
      </c>
      <c r="E12" s="73">
        <v>142852.76393959919</v>
      </c>
      <c r="F12" s="73">
        <v>214587.72531674188</v>
      </c>
      <c r="G12" s="73">
        <v>0</v>
      </c>
      <c r="H12" s="73">
        <v>0</v>
      </c>
      <c r="I12" s="434">
        <f>F12*'3.a'!$H$2</f>
        <v>200584.08210041808</v>
      </c>
      <c r="J12" s="71" t="str">
        <f t="shared" si="0"/>
        <v xml:space="preserve"> Nyelv és Irodalom Tanszék</v>
      </c>
      <c r="K12" s="71">
        <f>COUNTIF('1 kari főtábla'!$1:$1,D12)</f>
        <v>1</v>
      </c>
    </row>
    <row r="13" spans="1:11" x14ac:dyDescent="0.3">
      <c r="A13" s="71" t="s">
        <v>729</v>
      </c>
      <c r="B13" s="71" t="s">
        <v>741</v>
      </c>
      <c r="C13" s="71" t="s">
        <v>1117</v>
      </c>
      <c r="D13" s="628" t="s">
        <v>1086</v>
      </c>
      <c r="E13" s="73">
        <v>44609.629107074943</v>
      </c>
      <c r="F13" s="73">
        <v>268364.41928922816</v>
      </c>
      <c r="G13" s="73">
        <v>0</v>
      </c>
      <c r="H13" s="73">
        <v>0</v>
      </c>
      <c r="I13" s="434">
        <f>F13*'3.a'!$H$2</f>
        <v>250851.39717141984</v>
      </c>
      <c r="J13" s="71" t="str">
        <f t="shared" si="0"/>
        <v>giai Tanszék</v>
      </c>
      <c r="K13" s="71">
        <f>COUNTIF('1 kari főtábla'!$1:$1,D13)</f>
        <v>1</v>
      </c>
    </row>
    <row r="14" spans="1:11" x14ac:dyDescent="0.3">
      <c r="A14" s="71" t="s">
        <v>729</v>
      </c>
      <c r="B14" s="71" t="s">
        <v>741</v>
      </c>
      <c r="C14" s="71" t="s">
        <v>1119</v>
      </c>
      <c r="D14" s="628" t="s">
        <v>2867</v>
      </c>
      <c r="E14" s="73">
        <v>702561.44066831039</v>
      </c>
      <c r="F14" s="73">
        <v>2320562.9197362671</v>
      </c>
      <c r="G14" s="73">
        <v>520240.34274986299</v>
      </c>
      <c r="H14" s="73">
        <v>0</v>
      </c>
      <c r="I14" s="434">
        <f>F14*'3.a'!$H$2</f>
        <v>2169126.7873058068</v>
      </c>
      <c r="J14" s="71" t="str">
        <f t="shared" si="0"/>
        <v>ajzi Tanszék</v>
      </c>
      <c r="K14" s="71">
        <f>COUNTIF('1 kari főtábla'!$1:$1,D14)</f>
        <v>1</v>
      </c>
    </row>
    <row r="15" spans="1:11" x14ac:dyDescent="0.3">
      <c r="A15" s="71" t="s">
        <v>729</v>
      </c>
      <c r="B15" s="71" t="s">
        <v>741</v>
      </c>
      <c r="C15" s="71" t="s">
        <v>1120</v>
      </c>
      <c r="D15" s="628" t="s">
        <v>2868</v>
      </c>
      <c r="E15" s="73">
        <v>302300.52914601477</v>
      </c>
      <c r="F15" s="73">
        <v>1578614.2311131067</v>
      </c>
      <c r="G15" s="73">
        <v>693653.79033315065</v>
      </c>
      <c r="H15" s="73">
        <v>0</v>
      </c>
      <c r="I15" s="434">
        <f>F15*'3.a'!$H$2</f>
        <v>1475596.4539495283</v>
      </c>
      <c r="J15" s="71" t="str">
        <f t="shared" si="0"/>
        <v>i Tanszék</v>
      </c>
      <c r="K15" s="71">
        <f>COUNTIF('1 kari főtábla'!$1:$1,D15)</f>
        <v>1</v>
      </c>
    </row>
    <row r="16" spans="1:11" x14ac:dyDescent="0.3">
      <c r="A16" s="71" t="s">
        <v>729</v>
      </c>
      <c r="B16" s="71" t="s">
        <v>741</v>
      </c>
      <c r="C16" s="71" t="s">
        <v>1121</v>
      </c>
      <c r="D16" s="628" t="s">
        <v>2869</v>
      </c>
      <c r="E16" s="73">
        <v>133828.88732122481</v>
      </c>
      <c r="F16" s="73">
        <v>315722.84622262139</v>
      </c>
      <c r="G16" s="73">
        <v>0</v>
      </c>
      <c r="H16" s="73">
        <v>0</v>
      </c>
      <c r="I16" s="434">
        <f>F16*'3.a'!$H$2</f>
        <v>295119.2907899057</v>
      </c>
      <c r="J16" s="71" t="str">
        <f t="shared" si="0"/>
        <v>r Irodalomtudományi Tanszék</v>
      </c>
      <c r="K16" s="71">
        <f>COUNTIF('1 kari főtábla'!$1:$1,D16)</f>
        <v>1</v>
      </c>
    </row>
    <row r="17" spans="1:11" x14ac:dyDescent="0.3">
      <c r="A17" s="71" t="s">
        <v>729</v>
      </c>
      <c r="B17" s="71" t="s">
        <v>741</v>
      </c>
      <c r="C17" s="71" t="s">
        <v>1122</v>
      </c>
      <c r="D17" s="628" t="s">
        <v>2870</v>
      </c>
      <c r="E17" s="73">
        <v>0</v>
      </c>
      <c r="F17" s="73">
        <v>63144.569244524282</v>
      </c>
      <c r="G17" s="73">
        <v>0</v>
      </c>
      <c r="H17" s="73">
        <v>0</v>
      </c>
      <c r="I17" s="434">
        <f>F17*'3.a'!$H$2</f>
        <v>59023.858157981143</v>
      </c>
      <c r="J17" s="71" t="str">
        <f t="shared" si="0"/>
        <v>r Nyelvtudományi Tanszék</v>
      </c>
      <c r="K17" s="71">
        <f>COUNTIF('1 kari főtábla'!$1:$1,D17)</f>
        <v>1</v>
      </c>
    </row>
    <row r="18" spans="1:11" x14ac:dyDescent="0.3">
      <c r="A18" s="71" t="s">
        <v>729</v>
      </c>
      <c r="B18" s="71" t="s">
        <v>741</v>
      </c>
      <c r="C18" s="71" t="s">
        <v>1123</v>
      </c>
      <c r="D18" s="628" t="s">
        <v>2871</v>
      </c>
      <c r="E18" s="73">
        <v>4614308.6789644454</v>
      </c>
      <c r="F18" s="73">
        <v>5919803.3666741503</v>
      </c>
      <c r="G18" s="73">
        <v>1560721.028249589</v>
      </c>
      <c r="H18" s="73">
        <v>0</v>
      </c>
      <c r="I18" s="434">
        <f>F18*'3.a'!$H$2</f>
        <v>5533486.7023107316</v>
      </c>
      <c r="J18" s="71" t="str">
        <f t="shared" si="0"/>
        <v>atikai Tanszék</v>
      </c>
      <c r="K18" s="71">
        <f>COUNTIF('1 kari főtábla'!$1:$1,D18)</f>
        <v>1</v>
      </c>
    </row>
    <row r="19" spans="1:11" x14ac:dyDescent="0.3">
      <c r="A19" s="71" t="s">
        <v>729</v>
      </c>
      <c r="B19" s="71" t="s">
        <v>741</v>
      </c>
      <c r="C19" s="71" t="s">
        <v>1124</v>
      </c>
      <c r="D19" s="628" t="s">
        <v>2872</v>
      </c>
      <c r="E19" s="73">
        <v>0</v>
      </c>
      <c r="F19" s="73">
        <v>78930.711555655333</v>
      </c>
      <c r="G19" s="73">
        <v>173413.44758328766</v>
      </c>
      <c r="H19" s="73">
        <v>0</v>
      </c>
      <c r="I19" s="434">
        <f>F19*'3.a'!$H$2</f>
        <v>73779.822697476411</v>
      </c>
      <c r="J19" s="71" t="str">
        <f t="shared" si="0"/>
        <v xml:space="preserve"> Nyelv és Irodalom Tanszék</v>
      </c>
      <c r="K19" s="71">
        <f>COUNTIF('1 kari főtábla'!$1:$1,D19)</f>
        <v>1</v>
      </c>
    </row>
    <row r="20" spans="1:11" x14ac:dyDescent="0.3">
      <c r="A20" s="71" t="s">
        <v>729</v>
      </c>
      <c r="B20" s="71" t="s">
        <v>741</v>
      </c>
      <c r="C20" s="543"/>
      <c r="D20" s="543"/>
      <c r="E20" s="73">
        <v>0</v>
      </c>
      <c r="F20" s="73">
        <v>31572.284622262141</v>
      </c>
      <c r="G20" s="73">
        <v>0</v>
      </c>
      <c r="H20" s="73">
        <v>0</v>
      </c>
      <c r="I20" s="434">
        <f>F20*'3.a'!$H$2</f>
        <v>29511.929078990572</v>
      </c>
      <c r="J20" s="71" t="str">
        <f t="shared" si="0"/>
        <v/>
      </c>
      <c r="K20" s="71">
        <f>COUNTIF('1 kari főtábla'!$1:$1,D20)</f>
        <v>0</v>
      </c>
    </row>
    <row r="21" spans="1:11" x14ac:dyDescent="0.3">
      <c r="A21" s="71" t="s">
        <v>729</v>
      </c>
      <c r="B21" s="71" t="s">
        <v>741</v>
      </c>
      <c r="C21" s="71" t="s">
        <v>1125</v>
      </c>
      <c r="D21" s="628" t="s">
        <v>2873</v>
      </c>
      <c r="E21" s="73">
        <v>29781.392828521806</v>
      </c>
      <c r="F21" s="73">
        <v>236792.13466696604</v>
      </c>
      <c r="G21" s="73">
        <v>0</v>
      </c>
      <c r="H21" s="73">
        <v>0</v>
      </c>
      <c r="I21" s="434">
        <f>F21*'3.a'!$H$2</f>
        <v>221339.46809242928</v>
      </c>
      <c r="J21" s="71" t="str">
        <f t="shared" si="0"/>
        <v>isztika Tanszék</v>
      </c>
      <c r="K21" s="71">
        <f>COUNTIF('1 kari főtábla'!$1:$1,D21)</f>
        <v>1</v>
      </c>
    </row>
    <row r="22" spans="1:11" x14ac:dyDescent="0.3">
      <c r="A22" s="71" t="s">
        <v>729</v>
      </c>
      <c r="B22" s="71" t="s">
        <v>741</v>
      </c>
      <c r="C22" s="71" t="s">
        <v>1126</v>
      </c>
      <c r="D22" s="628" t="s">
        <v>2874</v>
      </c>
      <c r="E22" s="73">
        <v>0</v>
      </c>
      <c r="F22" s="73">
        <v>94716.853866786405</v>
      </c>
      <c r="G22" s="73">
        <v>0</v>
      </c>
      <c r="H22" s="73">
        <v>0</v>
      </c>
      <c r="I22" s="434">
        <f>F22*'3.a'!$H$2</f>
        <v>88535.787236971708</v>
      </c>
      <c r="J22" s="71" t="str">
        <f t="shared" si="0"/>
        <v>nelem Tanszék</v>
      </c>
      <c r="K22" s="71">
        <f>COUNTIF('1 kari főtábla'!$1:$1,D22)</f>
        <v>1</v>
      </c>
    </row>
    <row r="23" spans="1:11" x14ac:dyDescent="0.3">
      <c r="A23" s="71" t="s">
        <v>729</v>
      </c>
      <c r="B23" s="71" t="s">
        <v>741</v>
      </c>
      <c r="C23" s="71" t="s">
        <v>1127</v>
      </c>
      <c r="D23" s="628" t="s">
        <v>2875</v>
      </c>
      <c r="E23" s="73">
        <v>0</v>
      </c>
      <c r="F23" s="73">
        <v>236792.13466696604</v>
      </c>
      <c r="G23" s="73">
        <v>0</v>
      </c>
      <c r="H23" s="73">
        <v>0</v>
      </c>
      <c r="I23" s="434">
        <f>F23*'3.a'!$H$2</f>
        <v>221339.46809242928</v>
      </c>
      <c r="J23" s="71" t="str">
        <f t="shared" si="0"/>
        <v>lis Művészeti Tanszék</v>
      </c>
      <c r="K23" s="71">
        <f>COUNTIF('1 kari főtábla'!$1:$1,D23)</f>
        <v>1</v>
      </c>
    </row>
    <row r="24" spans="1:11" x14ac:dyDescent="0.3">
      <c r="A24" s="71" t="s">
        <v>729</v>
      </c>
      <c r="B24" s="71" t="s">
        <v>741</v>
      </c>
      <c r="C24" s="629" t="s">
        <v>3800</v>
      </c>
      <c r="D24" s="629" t="s">
        <v>3800</v>
      </c>
      <c r="E24" s="73">
        <v>89260.898304621718</v>
      </c>
      <c r="F24" s="73">
        <v>568301.12320071843</v>
      </c>
      <c r="G24" s="73">
        <v>0</v>
      </c>
      <c r="H24" s="73">
        <v>0</v>
      </c>
      <c r="I24" s="434">
        <f>F24*'3.a'!$H$2</f>
        <v>531214.72342183022</v>
      </c>
      <c r="J24" s="71" t="str">
        <f t="shared" ref="J24:J26" si="1">MID(D24,4,50)</f>
        <v>ansz</v>
      </c>
      <c r="K24" s="71">
        <f>COUNTIF('1 kari főtábla'!$1:$1,D24)</f>
        <v>0</v>
      </c>
    </row>
    <row r="25" spans="1:11" x14ac:dyDescent="0.3">
      <c r="A25" s="71" t="s">
        <v>729</v>
      </c>
      <c r="B25" s="71" t="s">
        <v>1129</v>
      </c>
      <c r="D25" s="628" t="e">
        <v>#N/A</v>
      </c>
      <c r="E25" s="73">
        <v>6059504.2202798137</v>
      </c>
      <c r="F25" s="73">
        <v>11927905.320175994</v>
      </c>
      <c r="G25" s="73">
        <v>2948028.6089158901</v>
      </c>
      <c r="H25" s="73">
        <v>0</v>
      </c>
      <c r="I25" s="434">
        <f>F25*'3.a'!$H$2</f>
        <v>11149509.770405918</v>
      </c>
      <c r="J25" s="71" t="e">
        <f t="shared" si="1"/>
        <v>#N/A</v>
      </c>
      <c r="K25" s="71">
        <f>COUNTIF('1 kari főtábla'!$1:$1,D25)</f>
        <v>0</v>
      </c>
    </row>
    <row r="26" spans="1:11" x14ac:dyDescent="0.3">
      <c r="A26" s="71" t="s">
        <v>1130</v>
      </c>
      <c r="D26" s="628" t="e">
        <v>#N/A</v>
      </c>
      <c r="E26" s="73">
        <v>6059504.2202798137</v>
      </c>
      <c r="F26" s="73">
        <v>12126597.672512244</v>
      </c>
      <c r="G26" s="73">
        <v>2948028.6089158901</v>
      </c>
      <c r="H26" s="73">
        <v>19810.919275392615</v>
      </c>
      <c r="I26" s="434">
        <f>F26*'3.a'!$H$2</f>
        <v>11335235.78551192</v>
      </c>
      <c r="J26" s="71" t="e">
        <f t="shared" si="1"/>
        <v>#N/A</v>
      </c>
      <c r="K26" s="71">
        <f>COUNTIF('1 kari főtábla'!$1:$1,D26)</f>
        <v>0</v>
      </c>
    </row>
    <row r="27" spans="1:11" x14ac:dyDescent="0.3">
      <c r="A27" s="71" t="s">
        <v>745</v>
      </c>
      <c r="D27" s="628"/>
      <c r="E27" s="73">
        <v>6059504.2202798137</v>
      </c>
      <c r="F27" s="73">
        <v>12126597.672512244</v>
      </c>
      <c r="G27" s="73">
        <v>2948028.6089158901</v>
      </c>
      <c r="H27" s="73">
        <v>19810.919275392615</v>
      </c>
      <c r="I27" s="434">
        <f>F27*'3.a'!$H$2</f>
        <v>11335235.78551192</v>
      </c>
    </row>
    <row r="28" spans="1:11" s="4" customFormat="1" x14ac:dyDescent="0.3">
      <c r="A28" s="71"/>
      <c r="B28" s="71"/>
      <c r="C28" s="71"/>
      <c r="D28" s="71"/>
      <c r="E28" s="73"/>
      <c r="F28" s="73"/>
      <c r="G28" s="73"/>
      <c r="H28" s="73"/>
      <c r="I28" s="434"/>
      <c r="J28" s="71"/>
      <c r="K28" s="71"/>
    </row>
    <row r="29" spans="1:11" s="4" customFormat="1" x14ac:dyDescent="0.3">
      <c r="A29" s="71"/>
      <c r="B29" s="71"/>
      <c r="C29" s="543" t="s">
        <v>1128</v>
      </c>
      <c r="D29" s="629" t="s">
        <v>2876</v>
      </c>
      <c r="E29" s="73">
        <f>E10+E24</f>
        <v>89260.898304621718</v>
      </c>
      <c r="F29" s="73">
        <f t="shared" ref="F29:H29" si="2">F10+F24</f>
        <v>766993.47553696926</v>
      </c>
      <c r="G29" s="73">
        <f t="shared" si="2"/>
        <v>0</v>
      </c>
      <c r="H29" s="73">
        <f t="shared" si="2"/>
        <v>19810.919275392615</v>
      </c>
      <c r="I29" s="434">
        <f>F29*'3.a'!$H$2</f>
        <v>716940.73852783185</v>
      </c>
      <c r="J29" s="71" t="str">
        <f t="shared" ref="J29" si="3">MID(D29,4,50)</f>
        <v>epedagógiai Tanszék</v>
      </c>
      <c r="K29" s="71">
        <f>COUNTIF('1 kari főtábla'!$1:$1,D29)</f>
        <v>1</v>
      </c>
    </row>
    <row r="30" spans="1:11" s="4" customFormat="1" x14ac:dyDescent="0.3">
      <c r="A30" s="71"/>
      <c r="B30" s="71"/>
      <c r="C30" s="71"/>
      <c r="D30" s="71"/>
      <c r="E30" s="73"/>
      <c r="F30" s="73"/>
      <c r="G30" s="73"/>
      <c r="H30" s="73"/>
      <c r="I30" s="434"/>
      <c r="J30" s="71"/>
      <c r="K30" s="71"/>
    </row>
    <row r="31" spans="1:11" s="4" customFormat="1" x14ac:dyDescent="0.3">
      <c r="A31" s="71" t="s">
        <v>5</v>
      </c>
      <c r="B31" s="71" t="s">
        <v>741</v>
      </c>
      <c r="C31" s="71" t="s">
        <v>1178</v>
      </c>
      <c r="E31" s="71">
        <v>0</v>
      </c>
      <c r="F31" s="73">
        <v>0</v>
      </c>
      <c r="G31" s="73">
        <v>231217.93011105023</v>
      </c>
      <c r="H31" s="73">
        <v>0</v>
      </c>
      <c r="I31" s="434">
        <f>F31*'3.a'!$H$2</f>
        <v>0</v>
      </c>
      <c r="J31" s="71" t="str">
        <f t="shared" ref="J31:J32" si="4">MID(D31,6,50)</f>
        <v/>
      </c>
      <c r="K31" s="71">
        <f>COUNTIF('1 kari főtábla'!$1:$1,D31)</f>
        <v>0</v>
      </c>
    </row>
    <row r="32" spans="1:11" s="4" customFormat="1" x14ac:dyDescent="0.3">
      <c r="A32" s="714" t="s">
        <v>8</v>
      </c>
      <c r="B32" s="714" t="s">
        <v>741</v>
      </c>
      <c r="C32" s="715" t="s">
        <v>1326</v>
      </c>
      <c r="D32" s="71"/>
      <c r="E32" s="73">
        <v>0</v>
      </c>
      <c r="F32" s="73">
        <v>31572.284622262141</v>
      </c>
      <c r="G32" s="73">
        <v>0</v>
      </c>
      <c r="H32" s="73">
        <v>0</v>
      </c>
      <c r="I32" s="434">
        <f>F32*'3.a'!$H$2</f>
        <v>29511.929078990572</v>
      </c>
      <c r="J32" s="71" t="str">
        <f t="shared" si="4"/>
        <v/>
      </c>
      <c r="K32" s="71">
        <f>COUNTIF('1 kari főtábla'!$1:$1,D32)</f>
        <v>0</v>
      </c>
    </row>
    <row r="33" spans="1:11" s="4" customFormat="1" x14ac:dyDescent="0.3">
      <c r="A33" s="71"/>
      <c r="B33" s="71"/>
      <c r="C33" s="543" t="s">
        <v>784</v>
      </c>
      <c r="D33" s="543" t="s">
        <v>784</v>
      </c>
      <c r="E33" s="73">
        <f>E20+E31+E32</f>
        <v>0</v>
      </c>
      <c r="F33" s="73">
        <f t="shared" ref="F33:I33" si="5">F20+F31+F32</f>
        <v>63144.569244524282</v>
      </c>
      <c r="G33" s="73">
        <f t="shared" si="5"/>
        <v>231217.93011105023</v>
      </c>
      <c r="H33" s="73">
        <f t="shared" si="5"/>
        <v>0</v>
      </c>
      <c r="I33" s="73">
        <f t="shared" si="5"/>
        <v>59023.858157981143</v>
      </c>
      <c r="J33" s="71"/>
      <c r="K33" s="71">
        <f>COUNTIF('1 kari főtábla'!$1:$1,D33)</f>
        <v>1</v>
      </c>
    </row>
    <row r="34" spans="1:11" s="4" customFormat="1" x14ac:dyDescent="0.3">
      <c r="A34" s="71"/>
      <c r="B34" s="71"/>
      <c r="C34" s="71"/>
      <c r="D34" s="71"/>
      <c r="E34" s="73"/>
      <c r="F34" s="73"/>
      <c r="G34" s="73"/>
      <c r="H34" s="73"/>
      <c r="I34" s="71"/>
      <c r="J34" s="71"/>
      <c r="K34" s="71"/>
    </row>
    <row r="35" spans="1:11" s="4" customFormat="1" x14ac:dyDescent="0.3">
      <c r="A35" s="71"/>
      <c r="B35" s="71"/>
      <c r="C35" s="71"/>
      <c r="D35" s="71"/>
      <c r="E35" s="73"/>
      <c r="F35" s="73"/>
      <c r="G35" s="73"/>
      <c r="H35" s="73"/>
      <c r="I35" s="71"/>
      <c r="J35" s="71"/>
      <c r="K35" s="71"/>
    </row>
    <row r="36" spans="1:11" s="4" customFormat="1" x14ac:dyDescent="0.3">
      <c r="A36" s="71"/>
      <c r="B36" s="71"/>
      <c r="C36" s="71"/>
      <c r="D36" s="71"/>
      <c r="E36" s="73"/>
      <c r="F36" s="73"/>
      <c r="G36" s="73"/>
      <c r="H36" s="73"/>
      <c r="I36" s="71"/>
      <c r="J36" s="71"/>
      <c r="K36" s="71"/>
    </row>
    <row r="37" spans="1:11" s="4" customFormat="1" x14ac:dyDescent="0.3">
      <c r="A37" s="71"/>
      <c r="B37" s="71"/>
      <c r="C37" s="71"/>
      <c r="D37" s="71"/>
      <c r="E37" s="73"/>
      <c r="F37" s="73"/>
      <c r="G37" s="73"/>
      <c r="H37" s="73"/>
      <c r="I37" s="71"/>
      <c r="J37" s="71"/>
      <c r="K37" s="71"/>
    </row>
    <row r="38" spans="1:11" x14ac:dyDescent="0.3">
      <c r="A38"/>
      <c r="B38"/>
      <c r="C38"/>
      <c r="D38"/>
      <c r="E38"/>
      <c r="F38"/>
      <c r="G38"/>
      <c r="H38"/>
    </row>
    <row r="39" spans="1:11" x14ac:dyDescent="0.3">
      <c r="A39"/>
      <c r="B39"/>
      <c r="C39"/>
      <c r="D39"/>
      <c r="E39"/>
      <c r="F39"/>
      <c r="G39"/>
      <c r="H39"/>
    </row>
    <row r="40" spans="1:11" x14ac:dyDescent="0.3">
      <c r="A40"/>
      <c r="B40"/>
      <c r="C40"/>
      <c r="D40"/>
      <c r="E40"/>
      <c r="F40"/>
      <c r="G40"/>
      <c r="H40"/>
    </row>
    <row r="41" spans="1:11" x14ac:dyDescent="0.3">
      <c r="A41"/>
      <c r="B41"/>
      <c r="C41"/>
      <c r="D41"/>
      <c r="E41"/>
      <c r="F41"/>
      <c r="G41"/>
      <c r="H41"/>
    </row>
    <row r="42" spans="1:11" x14ac:dyDescent="0.3">
      <c r="A42"/>
      <c r="B42"/>
      <c r="C42"/>
      <c r="D42"/>
      <c r="E42"/>
      <c r="F42"/>
      <c r="G42"/>
      <c r="H42"/>
    </row>
    <row r="43" spans="1:11" x14ac:dyDescent="0.3">
      <c r="A43"/>
      <c r="B43"/>
      <c r="C43"/>
      <c r="D43"/>
      <c r="E43"/>
      <c r="F43"/>
      <c r="G43"/>
      <c r="H43"/>
    </row>
    <row r="44" spans="1:11" x14ac:dyDescent="0.3">
      <c r="A44"/>
      <c r="B44"/>
      <c r="C44"/>
      <c r="D44"/>
      <c r="E44"/>
      <c r="F44"/>
      <c r="G44"/>
      <c r="H44"/>
    </row>
    <row r="45" spans="1:11" x14ac:dyDescent="0.3">
      <c r="E45" s="71"/>
      <c r="F45" s="71"/>
      <c r="G45" s="71"/>
      <c r="H45" s="71"/>
    </row>
    <row r="46" spans="1:11" x14ac:dyDescent="0.3">
      <c r="E46" s="71"/>
      <c r="F46" s="71"/>
      <c r="G46" s="71"/>
      <c r="H46" s="71"/>
    </row>
    <row r="47" spans="1:11" x14ac:dyDescent="0.3">
      <c r="E47" s="71"/>
      <c r="F47" s="71"/>
      <c r="G47" s="71"/>
      <c r="H47" s="71"/>
    </row>
    <row r="48" spans="1:11" x14ac:dyDescent="0.3">
      <c r="E48" s="71"/>
      <c r="F48" s="71"/>
      <c r="G48" s="71"/>
      <c r="H48" s="71"/>
    </row>
    <row r="49" s="71" customFormat="1" x14ac:dyDescent="0.3"/>
    <row r="50" s="71" customFormat="1" x14ac:dyDescent="0.3"/>
    <row r="51" s="71" customFormat="1" x14ac:dyDescent="0.3"/>
    <row r="52" s="71" customFormat="1" x14ac:dyDescent="0.3"/>
    <row r="53" s="71" customFormat="1" x14ac:dyDescent="0.3"/>
    <row r="54" s="71" customFormat="1" x14ac:dyDescent="0.3"/>
    <row r="55" s="71" customFormat="1" x14ac:dyDescent="0.3"/>
    <row r="56" s="71" customFormat="1" x14ac:dyDescent="0.3"/>
    <row r="57" s="71" customFormat="1" x14ac:dyDescent="0.3"/>
    <row r="58" s="71" customFormat="1" x14ac:dyDescent="0.3"/>
    <row r="59" s="71" customFormat="1" x14ac:dyDescent="0.3"/>
    <row r="60" s="71" customFormat="1" x14ac:dyDescent="0.3"/>
    <row r="61" s="71" customFormat="1" x14ac:dyDescent="0.3"/>
    <row r="62" s="71" customFormat="1" x14ac:dyDescent="0.3"/>
    <row r="63" s="71" customFormat="1" x14ac:dyDescent="0.3"/>
    <row r="64" s="71" customFormat="1" x14ac:dyDescent="0.3"/>
    <row r="65" s="71" customFormat="1" x14ac:dyDescent="0.3"/>
    <row r="66" s="71" customFormat="1" x14ac:dyDescent="0.3"/>
    <row r="67" s="71" customFormat="1" x14ac:dyDescent="0.3"/>
    <row r="68" s="71" customFormat="1" x14ac:dyDescent="0.3"/>
    <row r="69" s="71" customFormat="1" x14ac:dyDescent="0.3"/>
    <row r="70" s="71" customFormat="1" x14ac:dyDescent="0.3"/>
    <row r="71" s="71" customFormat="1" x14ac:dyDescent="0.3"/>
    <row r="72" s="71" customFormat="1" x14ac:dyDescent="0.3"/>
    <row r="73" s="71" customFormat="1" x14ac:dyDescent="0.3"/>
    <row r="74" s="71" customFormat="1" x14ac:dyDescent="0.3"/>
    <row r="75" s="71" customFormat="1" x14ac:dyDescent="0.3"/>
    <row r="76" s="71" customFormat="1" x14ac:dyDescent="0.3"/>
    <row r="77" s="71" customFormat="1" x14ac:dyDescent="0.3"/>
    <row r="78" s="71" customFormat="1" x14ac:dyDescent="0.3"/>
    <row r="79" s="71" customFormat="1" x14ac:dyDescent="0.3"/>
    <row r="80" s="71" customFormat="1" x14ac:dyDescent="0.3"/>
    <row r="81" s="71" customFormat="1" x14ac:dyDescent="0.3"/>
    <row r="82" s="71" customFormat="1" x14ac:dyDescent="0.3"/>
    <row r="83" s="71" customFormat="1" x14ac:dyDescent="0.3"/>
    <row r="84" s="71" customFormat="1" x14ac:dyDescent="0.3"/>
    <row r="85" s="71" customFormat="1" x14ac:dyDescent="0.3"/>
    <row r="86" s="71" customFormat="1" x14ac:dyDescent="0.3"/>
    <row r="87" s="71" customFormat="1" x14ac:dyDescent="0.3"/>
    <row r="88" s="71" customFormat="1" x14ac:dyDescent="0.3"/>
    <row r="89" s="71" customFormat="1" x14ac:dyDescent="0.3"/>
    <row r="90" s="71" customFormat="1" x14ac:dyDescent="0.3"/>
    <row r="91" s="71" customFormat="1" x14ac:dyDescent="0.3"/>
    <row r="92" s="71" customFormat="1" x14ac:dyDescent="0.3"/>
    <row r="93" s="71" customFormat="1" x14ac:dyDescent="0.3"/>
    <row r="94" s="71" customFormat="1" x14ac:dyDescent="0.3"/>
    <row r="95" s="71" customFormat="1" x14ac:dyDescent="0.3"/>
    <row r="96" s="71" customFormat="1" x14ac:dyDescent="0.3"/>
    <row r="97" s="71" customFormat="1" x14ac:dyDescent="0.3"/>
  </sheetData>
  <autoFilter ref="A9:H27"/>
  <mergeCells count="1">
    <mergeCell ref="A2:G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7"/>
  <sheetViews>
    <sheetView zoomScale="90" zoomScaleNormal="90" workbookViewId="0">
      <pane xSplit="4" ySplit="8" topLeftCell="E9" activePane="bottomRight" state="frozen"/>
      <selection pane="topRight" activeCell="E1" sqref="E1"/>
      <selection pane="bottomLeft" activeCell="A9" sqref="A9"/>
      <selection pane="bottomRight" activeCell="D18" sqref="D18"/>
    </sheetView>
  </sheetViews>
  <sheetFormatPr defaultColWidth="9.109375" defaultRowHeight="15.6" x14ac:dyDescent="0.3"/>
  <cols>
    <col min="1" max="1" width="13.21875" style="71" customWidth="1"/>
    <col min="2" max="2" width="21.44140625" style="73" bestFit="1" customWidth="1"/>
    <col min="3" max="3" width="26" style="73" customWidth="1"/>
    <col min="4" max="4" width="30.21875" style="71" customWidth="1"/>
    <col min="5" max="5" width="17.88671875" style="73" customWidth="1"/>
    <col min="6" max="6" width="20.109375" style="73" customWidth="1"/>
    <col min="7" max="7" width="20.88671875" style="73" customWidth="1"/>
    <col min="8" max="8" width="16.6640625" style="73" customWidth="1"/>
    <col min="9" max="9" width="14.44140625" style="71" bestFit="1" customWidth="1"/>
    <col min="10" max="10" width="16" style="71" bestFit="1" customWidth="1"/>
    <col min="11" max="11" width="12.44140625" style="71" bestFit="1" customWidth="1"/>
    <col min="12" max="16384" width="9.109375" style="71"/>
  </cols>
  <sheetData>
    <row r="1" spans="1:11" ht="28.5" customHeight="1" x14ac:dyDescent="0.3">
      <c r="A1" s="77" t="s">
        <v>1089</v>
      </c>
      <c r="B1" s="77"/>
      <c r="C1" s="77"/>
      <c r="E1" s="77"/>
      <c r="F1" s="77"/>
      <c r="G1" s="77"/>
      <c r="H1" s="77"/>
    </row>
    <row r="2" spans="1:11" ht="15.6" customHeight="1" x14ac:dyDescent="0.3">
      <c r="A2" s="78" t="s">
        <v>1090</v>
      </c>
      <c r="B2" s="78"/>
      <c r="C2" s="78"/>
      <c r="E2" s="78"/>
      <c r="F2" s="78"/>
      <c r="G2" s="78"/>
      <c r="H2" s="78"/>
    </row>
    <row r="3" spans="1:11" x14ac:dyDescent="0.3">
      <c r="A3" s="78"/>
      <c r="B3" s="78"/>
      <c r="C3" s="78"/>
      <c r="E3" s="78"/>
      <c r="F3" s="78"/>
      <c r="G3" s="78"/>
      <c r="H3" s="78"/>
    </row>
    <row r="4" spans="1:11" x14ac:dyDescent="0.3">
      <c r="A4" s="533"/>
      <c r="B4" s="533"/>
      <c r="C4" s="533"/>
      <c r="E4" s="533"/>
      <c r="F4" s="533"/>
      <c r="G4" s="533"/>
      <c r="H4" s="533"/>
    </row>
    <row r="5" spans="1:11" x14ac:dyDescent="0.3">
      <c r="A5" s="71" t="s">
        <v>715</v>
      </c>
      <c r="B5" s="71" t="s">
        <v>1091</v>
      </c>
      <c r="C5" s="72"/>
      <c r="E5" s="72"/>
      <c r="F5" s="72"/>
      <c r="G5" s="72"/>
      <c r="H5" s="533"/>
    </row>
    <row r="6" spans="1:11" x14ac:dyDescent="0.3">
      <c r="A6" s="71" t="s">
        <v>717</v>
      </c>
      <c r="B6" s="71" t="s">
        <v>114</v>
      </c>
      <c r="C6" s="72"/>
      <c r="E6" s="72"/>
      <c r="F6" s="72"/>
      <c r="G6" s="72"/>
      <c r="H6" s="533"/>
    </row>
    <row r="7" spans="1:11" x14ac:dyDescent="0.3">
      <c r="A7" s="533"/>
      <c r="B7" s="72"/>
      <c r="C7" s="72"/>
      <c r="E7" s="72"/>
      <c r="F7" s="72"/>
      <c r="G7" s="72"/>
      <c r="H7" s="533"/>
    </row>
    <row r="8" spans="1:11" ht="31.2" x14ac:dyDescent="0.3">
      <c r="A8" s="431" t="s">
        <v>1092</v>
      </c>
      <c r="B8" s="431" t="s">
        <v>718</v>
      </c>
      <c r="C8" s="431" t="s">
        <v>724</v>
      </c>
      <c r="D8" s="432" t="s">
        <v>3492</v>
      </c>
      <c r="E8" s="431" t="s">
        <v>721</v>
      </c>
      <c r="F8" s="433" t="s">
        <v>720</v>
      </c>
      <c r="G8" s="433" t="s">
        <v>723</v>
      </c>
      <c r="H8" s="433" t="s">
        <v>722</v>
      </c>
      <c r="I8" s="630" t="s">
        <v>3799</v>
      </c>
      <c r="J8" s="631" t="s">
        <v>121</v>
      </c>
      <c r="K8" s="631" t="s">
        <v>3798</v>
      </c>
    </row>
    <row r="9" spans="1:11" x14ac:dyDescent="0.3">
      <c r="A9" s="71" t="s">
        <v>729</v>
      </c>
      <c r="B9" s="71" t="s">
        <v>741</v>
      </c>
      <c r="C9" s="71" t="s">
        <v>1116</v>
      </c>
      <c r="D9" s="628" t="s">
        <v>2865</v>
      </c>
      <c r="E9" s="434">
        <v>10972843.025067035</v>
      </c>
      <c r="F9" s="434">
        <v>83906444.511113375</v>
      </c>
      <c r="G9" s="434">
        <v>0</v>
      </c>
      <c r="H9" s="434">
        <v>0</v>
      </c>
      <c r="I9" s="434">
        <f>F9*'3.a'!$H$2</f>
        <v>78430847.476149932</v>
      </c>
      <c r="J9" s="71" t="str">
        <f>MID(D9,6,50)</f>
        <v xml:space="preserve"> Nyelv és Irodalom Tanszék</v>
      </c>
      <c r="K9" s="71">
        <f>COUNTIF('1 kari főtábla'!$1:$1,D9)</f>
        <v>1</v>
      </c>
    </row>
    <row r="10" spans="1:11" x14ac:dyDescent="0.3">
      <c r="A10" s="71" t="s">
        <v>729</v>
      </c>
      <c r="B10" s="71" t="s">
        <v>741</v>
      </c>
      <c r="C10" s="71" t="s">
        <v>1117</v>
      </c>
      <c r="D10" s="628" t="s">
        <v>1086</v>
      </c>
      <c r="E10" s="434">
        <v>1762650.4165704874</v>
      </c>
      <c r="F10" s="434">
        <v>11870389.293869246</v>
      </c>
      <c r="G10" s="434">
        <v>0</v>
      </c>
      <c r="H10" s="434">
        <v>-112403.43285935167</v>
      </c>
      <c r="I10" s="434">
        <f>F10*'3.a'!$H$2</f>
        <v>11095747.145699525</v>
      </c>
      <c r="J10" s="71" t="str">
        <f t="shared" ref="J10:J22" si="0">MID(D10,6,50)</f>
        <v>giai Tanszék</v>
      </c>
      <c r="K10" s="71">
        <f>COUNTIF('1 kari főtábla'!$1:$1,D10)</f>
        <v>1</v>
      </c>
    </row>
    <row r="11" spans="1:11" x14ac:dyDescent="0.3">
      <c r="A11" s="71" t="s">
        <v>729</v>
      </c>
      <c r="B11" s="71" t="s">
        <v>741</v>
      </c>
      <c r="C11" s="71" t="s">
        <v>1118</v>
      </c>
      <c r="D11" s="628" t="s">
        <v>2866</v>
      </c>
      <c r="E11" s="434">
        <v>662684.54703683523</v>
      </c>
      <c r="F11" s="434">
        <v>1945203.9595025217</v>
      </c>
      <c r="G11" s="434">
        <v>0</v>
      </c>
      <c r="H11" s="434">
        <v>0</v>
      </c>
      <c r="I11" s="434">
        <f>F11*'3.a'!$H$2</f>
        <v>1818263.1375536136</v>
      </c>
      <c r="J11" s="71" t="str">
        <f t="shared" si="0"/>
        <v>ai Tanszék</v>
      </c>
      <c r="K11" s="71">
        <f>COUNTIF('1 kari főtábla'!$1:$1,D11)</f>
        <v>1</v>
      </c>
    </row>
    <row r="12" spans="1:11" x14ac:dyDescent="0.3">
      <c r="A12" s="71" t="s">
        <v>729</v>
      </c>
      <c r="B12" s="71" t="s">
        <v>741</v>
      </c>
      <c r="C12" s="71" t="s">
        <v>1119</v>
      </c>
      <c r="D12" s="628" t="s">
        <v>2867</v>
      </c>
      <c r="E12" s="434">
        <v>858062.59062143939</v>
      </c>
      <c r="F12" s="434">
        <v>16496420.4034352</v>
      </c>
      <c r="G12" s="434">
        <v>0</v>
      </c>
      <c r="H12" s="434">
        <v>-220878.20204458095</v>
      </c>
      <c r="I12" s="434">
        <f>F12*'3.a'!$H$2</f>
        <v>15419891.047735991</v>
      </c>
      <c r="J12" s="71" t="str">
        <f t="shared" si="0"/>
        <v>ajzi Tanszék</v>
      </c>
      <c r="K12" s="71">
        <f>COUNTIF('1 kari főtábla'!$1:$1,D12)</f>
        <v>1</v>
      </c>
    </row>
    <row r="13" spans="1:11" x14ac:dyDescent="0.3">
      <c r="A13" s="71" t="s">
        <v>729</v>
      </c>
      <c r="B13" s="71" t="s">
        <v>741</v>
      </c>
      <c r="C13" s="71" t="s">
        <v>1120</v>
      </c>
      <c r="D13" s="628" t="s">
        <v>2868</v>
      </c>
      <c r="E13" s="434">
        <v>2644370.8648589137</v>
      </c>
      <c r="F13" s="434">
        <v>3077590.1339525855</v>
      </c>
      <c r="G13" s="434">
        <v>0</v>
      </c>
      <c r="H13" s="434">
        <v>0</v>
      </c>
      <c r="I13" s="434">
        <f>F13*'3.a'!$H$2</f>
        <v>2876751.6463907445</v>
      </c>
      <c r="J13" s="71" t="str">
        <f t="shared" si="0"/>
        <v>i Tanszék</v>
      </c>
      <c r="K13" s="71">
        <f>COUNTIF('1 kari főtábla'!$1:$1,D13)</f>
        <v>1</v>
      </c>
    </row>
    <row r="14" spans="1:11" x14ac:dyDescent="0.3">
      <c r="A14" s="71" t="s">
        <v>729</v>
      </c>
      <c r="B14" s="71" t="s">
        <v>741</v>
      </c>
      <c r="C14" s="71" t="s">
        <v>1121</v>
      </c>
      <c r="D14" s="628" t="s">
        <v>2869</v>
      </c>
      <c r="E14" s="434">
        <v>2111300.9497888805</v>
      </c>
      <c r="F14" s="434">
        <v>28812855.745202333</v>
      </c>
      <c r="G14" s="434">
        <v>0</v>
      </c>
      <c r="H14" s="434">
        <v>0</v>
      </c>
      <c r="I14" s="434">
        <f>F14*'3.a'!$H$2</f>
        <v>26932576.007376436</v>
      </c>
      <c r="J14" s="71" t="str">
        <f t="shared" si="0"/>
        <v>r Irodalomtudományi Tanszék</v>
      </c>
      <c r="K14" s="71">
        <f>COUNTIF('1 kari főtábla'!$1:$1,D14)</f>
        <v>1</v>
      </c>
    </row>
    <row r="15" spans="1:11" x14ac:dyDescent="0.3">
      <c r="A15" s="71" t="s">
        <v>729</v>
      </c>
      <c r="B15" s="71" t="s">
        <v>741</v>
      </c>
      <c r="C15" s="71" t="s">
        <v>1122</v>
      </c>
      <c r="D15" s="628" t="s">
        <v>2870</v>
      </c>
      <c r="E15" s="434">
        <v>603460.5215462104</v>
      </c>
      <c r="F15" s="434">
        <v>12908240.010665398</v>
      </c>
      <c r="G15" s="434">
        <v>0</v>
      </c>
      <c r="H15" s="434">
        <v>0</v>
      </c>
      <c r="I15" s="434">
        <f>F15*'3.a'!$H$2</f>
        <v>12065869.42589304</v>
      </c>
      <c r="J15" s="71" t="str">
        <f t="shared" si="0"/>
        <v>r Nyelvtudományi Tanszék</v>
      </c>
      <c r="K15" s="71">
        <f>COUNTIF('1 kari főtábla'!$1:$1,D15)</f>
        <v>1</v>
      </c>
    </row>
    <row r="16" spans="1:11" x14ac:dyDescent="0.3">
      <c r="A16" s="71" t="s">
        <v>729</v>
      </c>
      <c r="B16" s="71" t="s">
        <v>741</v>
      </c>
      <c r="C16" s="71" t="s">
        <v>1123</v>
      </c>
      <c r="D16" s="628" t="s">
        <v>2871</v>
      </c>
      <c r="E16" s="434">
        <v>7410818.0393660208</v>
      </c>
      <c r="F16" s="434">
        <v>19624889.787108652</v>
      </c>
      <c r="G16" s="434">
        <v>0</v>
      </c>
      <c r="H16" s="434">
        <v>-1964.3318370612005</v>
      </c>
      <c r="I16" s="434">
        <f>F16*'3.a'!$H$2</f>
        <v>18344201.647408683</v>
      </c>
      <c r="J16" s="71" t="str">
        <f t="shared" si="0"/>
        <v>atikai Tanszék</v>
      </c>
      <c r="K16" s="71">
        <f>COUNTIF('1 kari főtábla'!$1:$1,D16)</f>
        <v>1</v>
      </c>
    </row>
    <row r="17" spans="1:11" x14ac:dyDescent="0.3">
      <c r="A17" s="71" t="s">
        <v>729</v>
      </c>
      <c r="B17" s="71" t="s">
        <v>741</v>
      </c>
      <c r="C17" s="71" t="s">
        <v>1124</v>
      </c>
      <c r="D17" s="628" t="s">
        <v>2872</v>
      </c>
      <c r="E17" s="434">
        <v>2306720.7038459326</v>
      </c>
      <c r="F17" s="434">
        <v>20585099.374904227</v>
      </c>
      <c r="G17" s="434">
        <v>0</v>
      </c>
      <c r="H17" s="434">
        <v>0</v>
      </c>
      <c r="I17" s="434">
        <f>F17*'3.a'!$H$2</f>
        <v>19241749.531416051</v>
      </c>
      <c r="J17" s="71" t="str">
        <f t="shared" si="0"/>
        <v xml:space="preserve"> Nyelv és Irodalom Tanszék</v>
      </c>
      <c r="K17" s="71">
        <f>COUNTIF('1 kari főtábla'!$1:$1,D17)</f>
        <v>1</v>
      </c>
    </row>
    <row r="18" spans="1:11" x14ac:dyDescent="0.3">
      <c r="A18" s="71" t="s">
        <v>729</v>
      </c>
      <c r="B18" s="71" t="s">
        <v>741</v>
      </c>
      <c r="C18" s="629" t="s">
        <v>784</v>
      </c>
      <c r="D18" s="629" t="s">
        <v>784</v>
      </c>
      <c r="E18" s="434">
        <v>14412658.087662594</v>
      </c>
      <c r="F18" s="434">
        <v>90285928.497754544</v>
      </c>
      <c r="G18" s="434">
        <v>0</v>
      </c>
      <c r="H18" s="434">
        <v>-288102.00266879721</v>
      </c>
      <c r="I18" s="434">
        <f>F18*'3.a'!$H$2</f>
        <v>84394016.794646353</v>
      </c>
      <c r="J18" s="71" t="str">
        <f t="shared" si="0"/>
        <v/>
      </c>
      <c r="K18" s="71">
        <f>COUNTIF('1 kari főtábla'!$1:$1,D18)</f>
        <v>1</v>
      </c>
    </row>
    <row r="19" spans="1:11" x14ac:dyDescent="0.3">
      <c r="A19" s="71" t="s">
        <v>729</v>
      </c>
      <c r="B19" s="71" t="s">
        <v>741</v>
      </c>
      <c r="C19" s="71" t="s">
        <v>1125</v>
      </c>
      <c r="D19" s="628" t="s">
        <v>2873</v>
      </c>
      <c r="E19" s="434">
        <v>1047623.3903229809</v>
      </c>
      <c r="F19" s="434">
        <v>1944393.2577681241</v>
      </c>
      <c r="G19" s="434">
        <v>0</v>
      </c>
      <c r="H19" s="434">
        <v>0</v>
      </c>
      <c r="I19" s="434">
        <f>F19*'3.a'!$H$2</f>
        <v>1817505.3408855549</v>
      </c>
      <c r="J19" s="71" t="str">
        <f t="shared" si="0"/>
        <v>isztika Tanszék</v>
      </c>
      <c r="K19" s="71">
        <f>COUNTIF('1 kari főtábla'!$1:$1,D19)</f>
        <v>1</v>
      </c>
    </row>
    <row r="20" spans="1:11" x14ac:dyDescent="0.3">
      <c r="A20" s="71" t="s">
        <v>729</v>
      </c>
      <c r="B20" s="71" t="s">
        <v>741</v>
      </c>
      <c r="C20" s="71" t="s">
        <v>1126</v>
      </c>
      <c r="D20" s="628" t="s">
        <v>2874</v>
      </c>
      <c r="E20" s="434">
        <v>3689314.0964605119</v>
      </c>
      <c r="F20" s="434">
        <v>51416929.997568712</v>
      </c>
      <c r="G20" s="434">
        <v>0</v>
      </c>
      <c r="H20" s="434">
        <v>0</v>
      </c>
      <c r="I20" s="434">
        <f>F20*'3.a'!$H$2</f>
        <v>48061545.425120041</v>
      </c>
      <c r="J20" s="71" t="str">
        <f t="shared" si="0"/>
        <v>nelem Tanszék</v>
      </c>
      <c r="K20" s="71">
        <f>COUNTIF('1 kari főtábla'!$1:$1,D20)</f>
        <v>1</v>
      </c>
    </row>
    <row r="21" spans="1:11" x14ac:dyDescent="0.3">
      <c r="A21" s="71" t="s">
        <v>729</v>
      </c>
      <c r="B21" s="71" t="s">
        <v>741</v>
      </c>
      <c r="C21" s="71" t="s">
        <v>1127</v>
      </c>
      <c r="D21" s="628" t="s">
        <v>2875</v>
      </c>
      <c r="E21" s="434">
        <v>2698374.3855321882</v>
      </c>
      <c r="F21" s="434">
        <v>35687534.106647357</v>
      </c>
      <c r="G21" s="434">
        <v>0</v>
      </c>
      <c r="H21" s="434">
        <v>0</v>
      </c>
      <c r="I21" s="434">
        <f>F21*'3.a'!$H$2</f>
        <v>33358624.127466518</v>
      </c>
      <c r="J21" s="71" t="str">
        <f t="shared" si="0"/>
        <v>lis Művészeti Tanszék</v>
      </c>
      <c r="K21" s="71">
        <f>COUNTIF('1 kari főtábla'!$1:$1,D21)</f>
        <v>1</v>
      </c>
    </row>
    <row r="22" spans="1:11" x14ac:dyDescent="0.3">
      <c r="A22" s="71" t="s">
        <v>729</v>
      </c>
      <c r="B22" s="71" t="s">
        <v>741</v>
      </c>
      <c r="C22" s="71" t="s">
        <v>1128</v>
      </c>
      <c r="D22" s="628" t="s">
        <v>2876</v>
      </c>
      <c r="E22" s="434">
        <v>665955.13150916761</v>
      </c>
      <c r="F22" s="434">
        <v>8675575.1560479812</v>
      </c>
      <c r="G22" s="434">
        <v>0</v>
      </c>
      <c r="H22" s="434">
        <v>-13411.644951364711</v>
      </c>
      <c r="I22" s="434">
        <f>F22*'3.a'!$H$2</f>
        <v>8109421.3417868251</v>
      </c>
      <c r="J22" s="71" t="str">
        <f t="shared" si="0"/>
        <v>edagógiai Tanszék</v>
      </c>
      <c r="K22" s="71">
        <f>COUNTIF('1 kari főtábla'!$1:$1,D22)</f>
        <v>1</v>
      </c>
    </row>
    <row r="23" spans="1:11" x14ac:dyDescent="0.3">
      <c r="A23" s="71" t="s">
        <v>729</v>
      </c>
      <c r="B23" s="71" t="s">
        <v>1129</v>
      </c>
      <c r="C23" s="71"/>
      <c r="D23" s="628" t="e">
        <v>#N/A</v>
      </c>
      <c r="E23" s="434">
        <v>51846836.750189207</v>
      </c>
      <c r="F23" s="434">
        <v>387237494.23554027</v>
      </c>
      <c r="G23" s="434">
        <v>0</v>
      </c>
      <c r="H23" s="434">
        <v>-636759.61436115578</v>
      </c>
      <c r="I23" s="434">
        <f>F23*'3.a'!$H$2</f>
        <v>361967010.09552932</v>
      </c>
      <c r="J23" s="71" t="e">
        <f t="shared" ref="J23:J25" si="1">MID(D23,4,50)</f>
        <v>#N/A</v>
      </c>
      <c r="K23" s="71">
        <f>COUNTIF('1 kari főtábla'!$1:$1,D23)</f>
        <v>0</v>
      </c>
    </row>
    <row r="24" spans="1:11" x14ac:dyDescent="0.3">
      <c r="A24" s="71" t="s">
        <v>1130</v>
      </c>
      <c r="B24" s="71"/>
      <c r="C24" s="71"/>
      <c r="D24" s="628" t="e">
        <v>#N/A</v>
      </c>
      <c r="E24" s="434">
        <v>51846836.750189207</v>
      </c>
      <c r="F24" s="434">
        <v>387237494.23554027</v>
      </c>
      <c r="G24" s="434">
        <v>0</v>
      </c>
      <c r="H24" s="434">
        <v>-636759.61436115578</v>
      </c>
      <c r="I24" s="434">
        <f>F24*'3.a'!$H$2</f>
        <v>361967010.09552932</v>
      </c>
      <c r="J24" s="71" t="e">
        <f t="shared" si="1"/>
        <v>#N/A</v>
      </c>
      <c r="K24" s="71">
        <f>COUNTIF('1 kari főtábla'!$1:$1,D24)</f>
        <v>0</v>
      </c>
    </row>
    <row r="25" spans="1:11" x14ac:dyDescent="0.3">
      <c r="A25" s="71" t="s">
        <v>745</v>
      </c>
      <c r="B25" s="71"/>
      <c r="C25" s="71"/>
      <c r="D25" s="628" t="e">
        <v>#N/A</v>
      </c>
      <c r="E25" s="434">
        <v>51846836.750189207</v>
      </c>
      <c r="F25" s="434">
        <v>387237494.23554027</v>
      </c>
      <c r="G25" s="434">
        <v>0</v>
      </c>
      <c r="H25" s="434">
        <v>-636759.61436115578</v>
      </c>
      <c r="I25" s="434">
        <f>F25*'3.a'!$H$2</f>
        <v>361967010.09552932</v>
      </c>
      <c r="J25" s="71" t="e">
        <f t="shared" si="1"/>
        <v>#N/A</v>
      </c>
      <c r="K25" s="71">
        <f>COUNTIF('1 kari főtábla'!$1:$1,D25)</f>
        <v>0</v>
      </c>
    </row>
    <row r="26" spans="1:11" x14ac:dyDescent="0.3">
      <c r="A26"/>
      <c r="B26"/>
      <c r="C26"/>
      <c r="E26"/>
      <c r="F26"/>
      <c r="G26"/>
      <c r="H26"/>
    </row>
    <row r="27" spans="1:11" x14ac:dyDescent="0.3">
      <c r="A27"/>
      <c r="B27"/>
      <c r="C27"/>
      <c r="E27"/>
      <c r="F27"/>
      <c r="G27"/>
      <c r="H27"/>
    </row>
    <row r="28" spans="1:11" x14ac:dyDescent="0.3">
      <c r="A28"/>
      <c r="B28"/>
      <c r="C28"/>
      <c r="E28"/>
      <c r="F28"/>
      <c r="G28"/>
      <c r="H28"/>
    </row>
    <row r="29" spans="1:11" x14ac:dyDescent="0.3">
      <c r="A29"/>
      <c r="B29"/>
      <c r="C29"/>
      <c r="E29"/>
      <c r="F29"/>
      <c r="G29"/>
      <c r="H29"/>
    </row>
    <row r="30" spans="1:11" x14ac:dyDescent="0.3">
      <c r="A30"/>
      <c r="B30"/>
      <c r="C30"/>
      <c r="E30"/>
      <c r="F30"/>
      <c r="G30"/>
      <c r="H30"/>
    </row>
    <row r="31" spans="1:11" x14ac:dyDescent="0.3">
      <c r="A31"/>
      <c r="B31"/>
      <c r="C31"/>
      <c r="E31"/>
      <c r="F31"/>
      <c r="G31"/>
      <c r="H31"/>
    </row>
    <row r="32" spans="1:11" x14ac:dyDescent="0.3">
      <c r="A32"/>
      <c r="B32"/>
      <c r="C32"/>
      <c r="E32"/>
      <c r="F32"/>
      <c r="G32"/>
      <c r="H32"/>
    </row>
    <row r="33" spans="1:8" x14ac:dyDescent="0.3">
      <c r="A33"/>
      <c r="B33"/>
      <c r="C33"/>
      <c r="E33"/>
      <c r="F33"/>
      <c r="G33"/>
      <c r="H33"/>
    </row>
    <row r="34" spans="1:8" x14ac:dyDescent="0.3">
      <c r="A34"/>
      <c r="B34"/>
      <c r="C34"/>
      <c r="E34"/>
      <c r="F34"/>
      <c r="G34"/>
      <c r="H34"/>
    </row>
    <row r="35" spans="1:8" x14ac:dyDescent="0.3">
      <c r="A35"/>
      <c r="B35"/>
      <c r="C35"/>
      <c r="E35"/>
      <c r="F35"/>
      <c r="G35"/>
      <c r="H35"/>
    </row>
    <row r="36" spans="1:8" x14ac:dyDescent="0.3">
      <c r="A36"/>
      <c r="B36"/>
      <c r="C36"/>
      <c r="E36"/>
      <c r="F36"/>
      <c r="G36"/>
      <c r="H36"/>
    </row>
    <row r="37" spans="1:8" x14ac:dyDescent="0.3">
      <c r="A37"/>
      <c r="B37"/>
      <c r="C37"/>
      <c r="E37"/>
      <c r="F37"/>
      <c r="G37"/>
      <c r="H37"/>
    </row>
    <row r="38" spans="1:8" x14ac:dyDescent="0.3">
      <c r="A38"/>
      <c r="B38"/>
      <c r="C38"/>
      <c r="E38"/>
      <c r="F38"/>
      <c r="G38"/>
      <c r="H38"/>
    </row>
    <row r="39" spans="1:8" x14ac:dyDescent="0.3">
      <c r="A39"/>
      <c r="B39"/>
      <c r="C39"/>
      <c r="E39"/>
      <c r="F39"/>
      <c r="G39"/>
      <c r="H39"/>
    </row>
    <row r="40" spans="1:8" x14ac:dyDescent="0.3">
      <c r="A40"/>
      <c r="B40"/>
      <c r="C40"/>
      <c r="E40"/>
      <c r="F40"/>
      <c r="G40"/>
      <c r="H40"/>
    </row>
    <row r="41" spans="1:8" x14ac:dyDescent="0.3">
      <c r="A41"/>
      <c r="B41"/>
      <c r="C41"/>
      <c r="E41"/>
      <c r="F41"/>
      <c r="G41"/>
      <c r="H41"/>
    </row>
    <row r="42" spans="1:8" x14ac:dyDescent="0.3">
      <c r="A42"/>
      <c r="B42"/>
      <c r="C42"/>
      <c r="E42"/>
      <c r="F42"/>
      <c r="G42"/>
      <c r="H42"/>
    </row>
    <row r="43" spans="1:8" x14ac:dyDescent="0.3">
      <c r="A43"/>
      <c r="B43"/>
      <c r="C43"/>
      <c r="E43"/>
      <c r="F43"/>
      <c r="G43"/>
      <c r="H43"/>
    </row>
    <row r="44" spans="1:8" x14ac:dyDescent="0.3">
      <c r="A44"/>
      <c r="B44"/>
      <c r="C44"/>
      <c r="E44"/>
      <c r="F44"/>
      <c r="G44"/>
    </row>
    <row r="45" spans="1:8" x14ac:dyDescent="0.3">
      <c r="A45"/>
      <c r="B45"/>
      <c r="C45"/>
      <c r="E45"/>
      <c r="F45"/>
      <c r="G45"/>
    </row>
    <row r="46" spans="1:8" x14ac:dyDescent="0.3">
      <c r="A46"/>
      <c r="B46"/>
      <c r="C46"/>
      <c r="E46"/>
      <c r="F46"/>
      <c r="G46"/>
    </row>
    <row r="47" spans="1:8" x14ac:dyDescent="0.3">
      <c r="A47"/>
      <c r="B47"/>
      <c r="C47"/>
      <c r="E47"/>
      <c r="F47"/>
      <c r="G47"/>
    </row>
    <row r="48" spans="1:8" x14ac:dyDescent="0.3">
      <c r="A48"/>
      <c r="B48"/>
      <c r="C48"/>
      <c r="E48"/>
      <c r="F48"/>
      <c r="G48"/>
    </row>
    <row r="49" spans="1:7" x14ac:dyDescent="0.3">
      <c r="A49"/>
      <c r="B49"/>
      <c r="C49"/>
      <c r="E49"/>
      <c r="F49"/>
      <c r="G49"/>
    </row>
    <row r="50" spans="1:7" x14ac:dyDescent="0.3">
      <c r="A50"/>
      <c r="B50"/>
      <c r="C50"/>
      <c r="E50"/>
      <c r="F50"/>
      <c r="G50"/>
    </row>
    <row r="51" spans="1:7" x14ac:dyDescent="0.3">
      <c r="A51"/>
      <c r="B51"/>
      <c r="C51"/>
      <c r="E51"/>
      <c r="F51"/>
      <c r="G51"/>
    </row>
    <row r="52" spans="1:7" x14ac:dyDescent="0.3">
      <c r="A52"/>
      <c r="B52"/>
      <c r="C52"/>
      <c r="E52"/>
      <c r="F52"/>
      <c r="G52"/>
    </row>
    <row r="53" spans="1:7" x14ac:dyDescent="0.3">
      <c r="A53"/>
      <c r="B53"/>
      <c r="C53"/>
      <c r="E53"/>
      <c r="F53"/>
      <c r="G53"/>
    </row>
    <row r="54" spans="1:7" x14ac:dyDescent="0.3">
      <c r="A54"/>
      <c r="B54"/>
      <c r="C54"/>
      <c r="E54"/>
      <c r="F54"/>
      <c r="G54"/>
    </row>
    <row r="55" spans="1:7" x14ac:dyDescent="0.3">
      <c r="A55"/>
      <c r="B55"/>
      <c r="C55"/>
      <c r="E55"/>
      <c r="F55"/>
      <c r="G55"/>
    </row>
    <row r="56" spans="1:7" x14ac:dyDescent="0.3">
      <c r="A56"/>
      <c r="B56"/>
      <c r="C56"/>
      <c r="E56"/>
      <c r="F56"/>
      <c r="G56"/>
    </row>
    <row r="57" spans="1:7" x14ac:dyDescent="0.3">
      <c r="A57"/>
      <c r="B57"/>
      <c r="C57"/>
      <c r="E57"/>
      <c r="F57"/>
      <c r="G57"/>
    </row>
    <row r="58" spans="1:7" x14ac:dyDescent="0.3">
      <c r="A58"/>
      <c r="B58"/>
      <c r="C58"/>
      <c r="E58"/>
      <c r="F58"/>
      <c r="G58"/>
    </row>
    <row r="59" spans="1:7" x14ac:dyDescent="0.3">
      <c r="A59"/>
      <c r="B59"/>
      <c r="C59"/>
      <c r="E59"/>
      <c r="F59"/>
      <c r="G59"/>
    </row>
    <row r="60" spans="1:7" x14ac:dyDescent="0.3">
      <c r="A60"/>
      <c r="B60"/>
      <c r="C60"/>
      <c r="E60"/>
      <c r="F60"/>
      <c r="G60"/>
    </row>
    <row r="61" spans="1:7" x14ac:dyDescent="0.3">
      <c r="A61"/>
      <c r="B61"/>
      <c r="C61"/>
      <c r="E61"/>
      <c r="F61"/>
      <c r="G61"/>
    </row>
    <row r="62" spans="1:7" x14ac:dyDescent="0.3">
      <c r="A62"/>
      <c r="B62"/>
      <c r="C62"/>
      <c r="E62"/>
      <c r="F62"/>
      <c r="G62"/>
    </row>
    <row r="63" spans="1:7" x14ac:dyDescent="0.3">
      <c r="A63"/>
      <c r="B63"/>
      <c r="C63"/>
      <c r="E63"/>
      <c r="F63"/>
      <c r="G63"/>
    </row>
    <row r="64" spans="1:7" x14ac:dyDescent="0.3">
      <c r="A64"/>
      <c r="B64"/>
      <c r="C64"/>
      <c r="E64"/>
      <c r="F64"/>
      <c r="G64"/>
    </row>
    <row r="65" spans="1:7" x14ac:dyDescent="0.3">
      <c r="A65"/>
      <c r="B65"/>
      <c r="C65"/>
      <c r="E65"/>
      <c r="F65"/>
      <c r="G65"/>
    </row>
    <row r="66" spans="1:7" x14ac:dyDescent="0.3">
      <c r="A66"/>
      <c r="B66"/>
      <c r="C66"/>
      <c r="E66"/>
      <c r="F66"/>
      <c r="G66"/>
    </row>
    <row r="67" spans="1:7" x14ac:dyDescent="0.3">
      <c r="A67"/>
      <c r="B67"/>
      <c r="C67"/>
      <c r="E67"/>
      <c r="F67"/>
      <c r="G67"/>
    </row>
    <row r="68" spans="1:7" x14ac:dyDescent="0.3">
      <c r="A68"/>
      <c r="B68"/>
      <c r="C68"/>
      <c r="E68"/>
      <c r="F68"/>
      <c r="G68"/>
    </row>
    <row r="69" spans="1:7" x14ac:dyDescent="0.3">
      <c r="A69"/>
      <c r="B69"/>
      <c r="C69"/>
      <c r="E69"/>
      <c r="F69"/>
      <c r="G69"/>
    </row>
    <row r="70" spans="1:7" x14ac:dyDescent="0.3">
      <c r="A70"/>
      <c r="B70"/>
      <c r="C70"/>
      <c r="E70"/>
      <c r="F70"/>
      <c r="G70"/>
    </row>
    <row r="71" spans="1:7" x14ac:dyDescent="0.3">
      <c r="A71"/>
      <c r="B71"/>
      <c r="C71"/>
      <c r="E71"/>
      <c r="F71"/>
      <c r="G71"/>
    </row>
    <row r="72" spans="1:7" x14ac:dyDescent="0.3">
      <c r="A72"/>
      <c r="B72"/>
      <c r="C72"/>
      <c r="E72"/>
      <c r="F72"/>
      <c r="G72"/>
    </row>
    <row r="73" spans="1:7" x14ac:dyDescent="0.3">
      <c r="A73"/>
      <c r="B73"/>
      <c r="C73"/>
      <c r="E73"/>
      <c r="F73"/>
      <c r="G73"/>
    </row>
    <row r="74" spans="1:7" x14ac:dyDescent="0.3">
      <c r="A74"/>
      <c r="B74"/>
      <c r="C74"/>
      <c r="E74"/>
      <c r="F74"/>
      <c r="G74"/>
    </row>
    <row r="75" spans="1:7" x14ac:dyDescent="0.3">
      <c r="A75"/>
      <c r="B75"/>
      <c r="C75"/>
      <c r="E75"/>
      <c r="F75"/>
      <c r="G75"/>
    </row>
    <row r="76" spans="1:7" x14ac:dyDescent="0.3">
      <c r="A76"/>
      <c r="B76"/>
      <c r="C76"/>
      <c r="E76"/>
      <c r="F76"/>
      <c r="G76"/>
    </row>
    <row r="77" spans="1:7" x14ac:dyDescent="0.3">
      <c r="A77"/>
      <c r="B77"/>
      <c r="C77"/>
      <c r="E77"/>
      <c r="F77"/>
      <c r="G77"/>
    </row>
    <row r="78" spans="1:7" x14ac:dyDescent="0.3">
      <c r="A78"/>
      <c r="B78"/>
      <c r="C78"/>
      <c r="E78"/>
      <c r="F78"/>
      <c r="G78"/>
    </row>
    <row r="79" spans="1:7" x14ac:dyDescent="0.3">
      <c r="A79"/>
      <c r="B79"/>
      <c r="C79"/>
      <c r="E79"/>
      <c r="F79"/>
      <c r="G79"/>
    </row>
    <row r="80" spans="1:7" x14ac:dyDescent="0.3">
      <c r="A80"/>
      <c r="B80"/>
      <c r="C80"/>
      <c r="E80"/>
      <c r="F80"/>
      <c r="G80"/>
    </row>
    <row r="81" spans="1:7" x14ac:dyDescent="0.3">
      <c r="A81"/>
      <c r="B81"/>
      <c r="C81"/>
      <c r="E81"/>
      <c r="F81"/>
      <c r="G81"/>
    </row>
    <row r="82" spans="1:7" x14ac:dyDescent="0.3">
      <c r="A82"/>
      <c r="B82"/>
      <c r="C82"/>
      <c r="E82"/>
      <c r="F82"/>
      <c r="G82"/>
    </row>
    <row r="83" spans="1:7" x14ac:dyDescent="0.3">
      <c r="A83"/>
      <c r="B83"/>
      <c r="C83"/>
      <c r="E83"/>
      <c r="F83"/>
      <c r="G83"/>
    </row>
    <row r="84" spans="1:7" x14ac:dyDescent="0.3">
      <c r="A84"/>
      <c r="B84"/>
      <c r="C84"/>
      <c r="E84"/>
      <c r="F84"/>
      <c r="G84"/>
    </row>
    <row r="85" spans="1:7" x14ac:dyDescent="0.3">
      <c r="A85"/>
      <c r="B85"/>
      <c r="C85"/>
      <c r="E85"/>
      <c r="F85"/>
      <c r="G85"/>
    </row>
    <row r="86" spans="1:7" x14ac:dyDescent="0.3">
      <c r="A86"/>
      <c r="B86"/>
      <c r="C86"/>
      <c r="E86"/>
      <c r="F86"/>
      <c r="G86"/>
    </row>
    <row r="87" spans="1:7" x14ac:dyDescent="0.3">
      <c r="A87"/>
      <c r="B87"/>
      <c r="C87"/>
      <c r="E87"/>
      <c r="F87"/>
      <c r="G87"/>
    </row>
  </sheetData>
  <autoFilter ref="A8:H25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5"/>
  <sheetViews>
    <sheetView zoomScale="60" zoomScaleNormal="60" workbookViewId="0">
      <pane xSplit="3" ySplit="62" topLeftCell="D63" activePane="bottomRight" state="frozen"/>
      <selection activeCell="A58" sqref="A58"/>
      <selection pane="topRight" activeCell="D58" sqref="D58"/>
      <selection pane="bottomLeft" activeCell="A63" sqref="A63"/>
      <selection pane="bottomRight" activeCell="H8" sqref="H8"/>
    </sheetView>
  </sheetViews>
  <sheetFormatPr defaultColWidth="15.88671875" defaultRowHeight="15.6" x14ac:dyDescent="0.3"/>
  <cols>
    <col min="2" max="2" width="10.88671875" bestFit="1" customWidth="1"/>
    <col min="3" max="3" width="21.44140625" customWidth="1"/>
    <col min="4" max="4" width="16.6640625" style="2" customWidth="1"/>
    <col min="5" max="5" width="15.44140625" style="2" customWidth="1"/>
    <col min="6" max="6" width="14.21875" style="2" customWidth="1"/>
    <col min="7" max="7" width="19.44140625" style="2" bestFit="1" customWidth="1"/>
    <col min="8" max="8" width="14.109375" style="2" customWidth="1"/>
    <col min="9" max="9" width="14.88671875" customWidth="1"/>
    <col min="10" max="10" width="14.44140625" customWidth="1"/>
    <col min="11" max="11" width="16.44140625" customWidth="1"/>
    <col min="12" max="12" width="16.88671875" customWidth="1"/>
    <col min="13" max="13" width="14.88671875" style="2" customWidth="1"/>
    <col min="14" max="14" width="13.88671875" style="2" customWidth="1"/>
    <col min="15" max="15" width="14.21875" style="2" customWidth="1"/>
    <col min="16" max="16" width="19.44140625" style="2" bestFit="1" customWidth="1"/>
    <col min="17" max="17" width="13.109375" customWidth="1"/>
    <col min="18" max="18" width="13.33203125" customWidth="1"/>
  </cols>
  <sheetData>
    <row r="1" spans="1:22" ht="21" x14ac:dyDescent="0.4">
      <c r="A1" s="18" t="s">
        <v>3458</v>
      </c>
      <c r="D1"/>
      <c r="E1"/>
      <c r="F1"/>
      <c r="G1"/>
      <c r="H1"/>
      <c r="M1"/>
      <c r="N1"/>
      <c r="O1"/>
      <c r="P1"/>
    </row>
    <row r="2" spans="1:22" ht="33.75" customHeight="1" x14ac:dyDescent="0.3">
      <c r="D2"/>
      <c r="E2"/>
      <c r="F2"/>
      <c r="G2"/>
      <c r="H2" s="406">
        <f>+H5/G5</f>
        <v>0.93474163913311559</v>
      </c>
      <c r="I2" s="406">
        <f>+I5/G5</f>
        <v>6.5258360866884524E-2</v>
      </c>
      <c r="M2"/>
      <c r="N2"/>
      <c r="O2"/>
      <c r="P2"/>
    </row>
    <row r="3" spans="1:22" x14ac:dyDescent="0.3">
      <c r="D3" s="1087" t="s">
        <v>126</v>
      </c>
      <c r="E3" s="1088"/>
      <c r="F3" s="1088"/>
      <c r="G3" s="1088"/>
      <c r="H3" s="1088"/>
      <c r="I3" s="1089"/>
      <c r="J3" s="1087" t="s">
        <v>753</v>
      </c>
      <c r="K3" s="1088"/>
      <c r="L3" s="1088"/>
      <c r="M3" s="1089"/>
      <c r="N3" s="1087" t="s">
        <v>754</v>
      </c>
      <c r="O3" s="1088"/>
      <c r="P3" s="1088"/>
      <c r="Q3" s="1089"/>
      <c r="R3" s="1087" t="s">
        <v>3459</v>
      </c>
      <c r="S3" s="1088"/>
      <c r="T3" s="1088"/>
      <c r="U3" s="1089"/>
      <c r="V3" s="1090" t="s">
        <v>752</v>
      </c>
    </row>
    <row r="4" spans="1:22" ht="57.6" x14ac:dyDescent="0.3">
      <c r="D4" s="19" t="s">
        <v>756</v>
      </c>
      <c r="E4" s="19" t="s">
        <v>757</v>
      </c>
      <c r="F4" s="19" t="s">
        <v>758</v>
      </c>
      <c r="G4" s="19" t="s">
        <v>759</v>
      </c>
      <c r="H4" s="407" t="s">
        <v>3460</v>
      </c>
      <c r="I4" s="407" t="s">
        <v>3461</v>
      </c>
      <c r="J4" s="19" t="s">
        <v>756</v>
      </c>
      <c r="K4" s="19" t="s">
        <v>757</v>
      </c>
      <c r="L4" s="19" t="s">
        <v>758</v>
      </c>
      <c r="M4" s="19" t="s">
        <v>759</v>
      </c>
      <c r="N4" s="19" t="s">
        <v>756</v>
      </c>
      <c r="O4" s="19" t="s">
        <v>757</v>
      </c>
      <c r="P4" s="19" t="s">
        <v>758</v>
      </c>
      <c r="Q4" s="19" t="s">
        <v>759</v>
      </c>
      <c r="R4" s="19" t="s">
        <v>756</v>
      </c>
      <c r="S4" s="19" t="s">
        <v>757</v>
      </c>
      <c r="T4" s="19" t="s">
        <v>758</v>
      </c>
      <c r="U4" s="19" t="s">
        <v>759</v>
      </c>
      <c r="V4" s="1090"/>
    </row>
    <row r="5" spans="1:22" s="15" customFormat="1" x14ac:dyDescent="0.3">
      <c r="A5" s="412" t="s">
        <v>726</v>
      </c>
      <c r="B5" s="15" t="s">
        <v>4</v>
      </c>
      <c r="C5" s="15" t="s">
        <v>725</v>
      </c>
      <c r="D5" s="413">
        <v>597125809.25908351</v>
      </c>
      <c r="E5" s="413">
        <v>2611979.4651861889</v>
      </c>
      <c r="F5" s="414">
        <v>9513226.7605454065</v>
      </c>
      <c r="G5" s="413">
        <v>604027056.55444229</v>
      </c>
      <c r="H5" s="413">
        <v>564609240.92445052</v>
      </c>
      <c r="I5" s="413">
        <v>39417815.629991859</v>
      </c>
      <c r="J5" s="413">
        <v>1528816499.9999998</v>
      </c>
      <c r="K5" s="413">
        <v>9107293.5888197143</v>
      </c>
      <c r="L5" s="413">
        <v>3611060.937661605</v>
      </c>
      <c r="M5" s="413">
        <v>1523320267.3488424</v>
      </c>
      <c r="N5" s="413">
        <v>0</v>
      </c>
      <c r="O5" s="413">
        <v>0</v>
      </c>
      <c r="P5" s="413">
        <v>490016.24515517475</v>
      </c>
      <c r="Q5" s="413">
        <v>490016.24515517475</v>
      </c>
      <c r="R5" s="413">
        <v>1.8306891433894634E-6</v>
      </c>
      <c r="S5" s="413">
        <v>6570629.6862278068</v>
      </c>
      <c r="T5" s="413">
        <v>7174179.5577910542</v>
      </c>
      <c r="U5" s="413">
        <v>603549.87156507862</v>
      </c>
      <c r="V5" s="15" t="s">
        <v>4</v>
      </c>
    </row>
    <row r="6" spans="1:22" x14ac:dyDescent="0.3">
      <c r="A6" s="408" t="s">
        <v>726</v>
      </c>
      <c r="B6" t="s">
        <v>729</v>
      </c>
      <c r="C6" t="s">
        <v>728</v>
      </c>
      <c r="D6" s="86">
        <v>0</v>
      </c>
      <c r="E6" s="86">
        <v>0</v>
      </c>
      <c r="F6" s="22">
        <v>198692.35233625077</v>
      </c>
      <c r="G6" s="86">
        <v>198692.35233625077</v>
      </c>
      <c r="H6" s="86">
        <v>185726.01510600161</v>
      </c>
      <c r="I6" s="86">
        <v>12966.337230249221</v>
      </c>
      <c r="J6" s="86">
        <v>0</v>
      </c>
      <c r="K6" s="86">
        <v>0</v>
      </c>
      <c r="L6" s="86">
        <v>0</v>
      </c>
      <c r="M6" s="86">
        <v>0</v>
      </c>
      <c r="N6" s="86">
        <v>0</v>
      </c>
      <c r="O6" s="86">
        <v>0</v>
      </c>
      <c r="P6" s="86">
        <v>0</v>
      </c>
      <c r="Q6" s="86">
        <v>0</v>
      </c>
      <c r="R6" s="86">
        <v>0</v>
      </c>
      <c r="S6" s="86">
        <v>0</v>
      </c>
      <c r="T6" s="86">
        <v>19810.919275392615</v>
      </c>
      <c r="U6" s="86">
        <v>19810.919275392615</v>
      </c>
      <c r="V6" t="s">
        <v>729</v>
      </c>
    </row>
    <row r="7" spans="1:22" x14ac:dyDescent="0.3">
      <c r="A7" s="408" t="s">
        <v>726</v>
      </c>
      <c r="B7" t="s">
        <v>10</v>
      </c>
      <c r="C7" t="s">
        <v>727</v>
      </c>
      <c r="D7" s="86">
        <v>871390120.05569279</v>
      </c>
      <c r="E7" s="86">
        <v>12259954.595260458</v>
      </c>
      <c r="F7" s="22">
        <v>4669270.2799018919</v>
      </c>
      <c r="G7" s="86">
        <v>863799435.74033463</v>
      </c>
      <c r="H7" s="86">
        <v>807429300.44618082</v>
      </c>
      <c r="I7" s="86">
        <v>56370135.294153988</v>
      </c>
      <c r="J7" s="86">
        <v>236033000.00000006</v>
      </c>
      <c r="K7" s="86">
        <v>1296046.2168109552</v>
      </c>
      <c r="L7" s="86">
        <v>1379158.2436445588</v>
      </c>
      <c r="M7" s="86">
        <v>236116112.02683365</v>
      </c>
      <c r="N7" s="86">
        <v>467499.99999575003</v>
      </c>
      <c r="O7" s="86">
        <v>11153.27160765</v>
      </c>
      <c r="P7" s="86">
        <v>0</v>
      </c>
      <c r="Q7" s="86">
        <v>456346.72838809999</v>
      </c>
      <c r="R7" s="86">
        <v>-6.8080407800152898E-6</v>
      </c>
      <c r="S7" s="86">
        <v>572845.19982454809</v>
      </c>
      <c r="T7" s="86">
        <v>854463.46477622853</v>
      </c>
      <c r="U7" s="86">
        <v>281618.26494487247</v>
      </c>
      <c r="V7" t="s">
        <v>10</v>
      </c>
    </row>
    <row r="8" spans="1:22" x14ac:dyDescent="0.3">
      <c r="A8" s="408" t="s">
        <v>726</v>
      </c>
      <c r="B8" t="s">
        <v>5</v>
      </c>
      <c r="C8" t="s">
        <v>730</v>
      </c>
      <c r="D8" s="86">
        <v>4136824665.9538741</v>
      </c>
      <c r="E8" s="86">
        <v>397067947.62020564</v>
      </c>
      <c r="F8" s="22">
        <v>132001705.57825571</v>
      </c>
      <c r="G8" s="86">
        <v>3871758423.9119177</v>
      </c>
      <c r="H8" s="86">
        <v>3619093815.4948745</v>
      </c>
      <c r="I8" s="86">
        <v>252664608.41704398</v>
      </c>
      <c r="J8" s="86">
        <v>494509312.90455878</v>
      </c>
      <c r="K8" s="86">
        <v>12937433.550269246</v>
      </c>
      <c r="L8" s="86">
        <v>21183396.741746381</v>
      </c>
      <c r="M8" s="86">
        <v>502755276.0960353</v>
      </c>
      <c r="N8" s="86">
        <v>284557318.60003668</v>
      </c>
      <c r="O8" s="86">
        <v>2437515.2545640483</v>
      </c>
      <c r="P8" s="86">
        <v>54955464.309877045</v>
      </c>
      <c r="Q8" s="86">
        <v>337075267.65534967</v>
      </c>
      <c r="R8" s="86">
        <v>205488626.6892294</v>
      </c>
      <c r="S8" s="86">
        <v>8215597.1458408218</v>
      </c>
      <c r="T8" s="86">
        <v>13362269.098754311</v>
      </c>
      <c r="U8" s="86">
        <v>210635298.64214286</v>
      </c>
      <c r="V8" t="s">
        <v>5</v>
      </c>
    </row>
    <row r="9" spans="1:22" x14ac:dyDescent="0.3">
      <c r="A9" s="408" t="s">
        <v>726</v>
      </c>
      <c r="B9" t="s">
        <v>760</v>
      </c>
      <c r="C9" t="s">
        <v>3462</v>
      </c>
      <c r="D9" s="86">
        <v>0</v>
      </c>
      <c r="E9" s="86">
        <v>0</v>
      </c>
      <c r="F9" s="22">
        <v>0</v>
      </c>
      <c r="G9" s="86">
        <v>0</v>
      </c>
      <c r="H9" s="86">
        <v>0</v>
      </c>
      <c r="I9" s="86">
        <v>0</v>
      </c>
      <c r="J9" s="86">
        <v>0</v>
      </c>
      <c r="K9" s="86">
        <v>0</v>
      </c>
      <c r="L9" s="86">
        <v>0</v>
      </c>
      <c r="M9" s="86">
        <v>0</v>
      </c>
      <c r="N9" s="86">
        <v>0</v>
      </c>
      <c r="O9" s="86">
        <v>0</v>
      </c>
      <c r="P9" s="86">
        <v>0</v>
      </c>
      <c r="Q9" s="86">
        <v>0</v>
      </c>
      <c r="R9" s="86">
        <v>0</v>
      </c>
      <c r="S9" s="86">
        <v>0</v>
      </c>
      <c r="T9" s="86">
        <v>0</v>
      </c>
      <c r="U9" s="86">
        <v>0</v>
      </c>
      <c r="V9" t="s">
        <v>760</v>
      </c>
    </row>
    <row r="10" spans="1:22" x14ac:dyDescent="0.3">
      <c r="A10" s="408" t="s">
        <v>726</v>
      </c>
      <c r="B10" t="s">
        <v>732</v>
      </c>
      <c r="C10" t="s">
        <v>731</v>
      </c>
      <c r="D10" s="86">
        <v>0</v>
      </c>
      <c r="E10" s="86">
        <v>0</v>
      </c>
      <c r="F10" s="22">
        <v>0</v>
      </c>
      <c r="G10" s="86">
        <v>0</v>
      </c>
      <c r="H10" s="86">
        <v>0</v>
      </c>
      <c r="I10" s="86">
        <v>0</v>
      </c>
      <c r="J10" s="86">
        <v>0</v>
      </c>
      <c r="K10" s="86">
        <v>0</v>
      </c>
      <c r="L10" s="86">
        <v>0</v>
      </c>
      <c r="M10" s="86">
        <v>0</v>
      </c>
      <c r="N10" s="86">
        <v>0</v>
      </c>
      <c r="O10" s="86">
        <v>0</v>
      </c>
      <c r="P10" s="86">
        <v>0</v>
      </c>
      <c r="Q10" s="86">
        <v>0</v>
      </c>
      <c r="R10" s="86">
        <v>0</v>
      </c>
      <c r="S10" s="86">
        <v>0</v>
      </c>
      <c r="T10" s="86">
        <v>0</v>
      </c>
      <c r="U10" s="86">
        <v>0</v>
      </c>
      <c r="V10" t="s">
        <v>732</v>
      </c>
    </row>
    <row r="11" spans="1:22" x14ac:dyDescent="0.3">
      <c r="A11" s="408" t="s">
        <v>726</v>
      </c>
      <c r="B11" t="s">
        <v>3267</v>
      </c>
      <c r="C11" t="s">
        <v>3463</v>
      </c>
      <c r="D11" s="86">
        <v>2826086445.3733544</v>
      </c>
      <c r="E11" s="86">
        <v>183150949.99725711</v>
      </c>
      <c r="F11" s="22">
        <v>68176954.995150566</v>
      </c>
      <c r="G11" s="86">
        <v>2711112450.3712482</v>
      </c>
      <c r="H11" s="86">
        <v>2534189695.7342181</v>
      </c>
      <c r="I11" s="86">
        <v>176922754.63703048</v>
      </c>
      <c r="J11" s="86">
        <v>736558180.40803516</v>
      </c>
      <c r="K11" s="86">
        <v>21875886.132370539</v>
      </c>
      <c r="L11" s="86">
        <v>4024772.1173980967</v>
      </c>
      <c r="M11" s="86">
        <v>718707066.39306283</v>
      </c>
      <c r="N11" s="86">
        <v>59007000.000080757</v>
      </c>
      <c r="O11" s="86">
        <v>7151365.7176557761</v>
      </c>
      <c r="P11" s="86">
        <v>83712.224738443809</v>
      </c>
      <c r="Q11" s="86">
        <v>51939346.50716342</v>
      </c>
      <c r="R11" s="86">
        <v>441819.59195152146</v>
      </c>
      <c r="S11" s="86">
        <v>6532583.8742234083</v>
      </c>
      <c r="T11" s="86">
        <v>3736984.0109666288</v>
      </c>
      <c r="U11" s="86">
        <v>-2353780.2713052584</v>
      </c>
      <c r="V11" t="s">
        <v>3267</v>
      </c>
    </row>
    <row r="12" spans="1:22" x14ac:dyDescent="0.3">
      <c r="A12" s="412" t="s">
        <v>726</v>
      </c>
      <c r="B12" s="15" t="s">
        <v>9</v>
      </c>
      <c r="C12" s="15" t="s">
        <v>733</v>
      </c>
      <c r="D12" s="413">
        <v>1330748981.0973446</v>
      </c>
      <c r="E12" s="413">
        <v>86020604.026926264</v>
      </c>
      <c r="F12" s="414">
        <v>40601864.089235671</v>
      </c>
      <c r="G12" s="413">
        <v>1285330241.1596529</v>
      </c>
      <c r="H12" s="413">
        <v>1201451696.4489369</v>
      </c>
      <c r="I12" s="413">
        <v>83878544.710716352</v>
      </c>
      <c r="J12" s="413">
        <v>571340000</v>
      </c>
      <c r="K12" s="413">
        <v>15091495.199603386</v>
      </c>
      <c r="L12" s="413">
        <v>14020599.100042462</v>
      </c>
      <c r="M12" s="413">
        <v>570269103.90043926</v>
      </c>
      <c r="N12" s="413">
        <v>568849834.99981117</v>
      </c>
      <c r="O12" s="413">
        <v>27983858.470927123</v>
      </c>
      <c r="P12" s="413">
        <v>1675361.1727907376</v>
      </c>
      <c r="Q12" s="413">
        <v>542541337.7016747</v>
      </c>
      <c r="R12" s="413">
        <v>-1.224798324983567E-5</v>
      </c>
      <c r="S12" s="413">
        <v>3142250.7639073306</v>
      </c>
      <c r="T12" s="413">
        <v>2797682.3972102944</v>
      </c>
      <c r="U12" s="413">
        <v>-344568.3667092846</v>
      </c>
      <c r="V12" s="15" t="s">
        <v>9</v>
      </c>
    </row>
    <row r="13" spans="1:22" x14ac:dyDescent="0.3">
      <c r="A13" s="408" t="s">
        <v>726</v>
      </c>
      <c r="B13" t="s">
        <v>6</v>
      </c>
      <c r="C13" t="s">
        <v>734</v>
      </c>
      <c r="D13" s="86">
        <v>1736349185.3588316</v>
      </c>
      <c r="E13" s="86">
        <v>104695341.38889968</v>
      </c>
      <c r="F13" s="22">
        <v>267056282.67244527</v>
      </c>
      <c r="G13" s="86">
        <v>1898710126.6423798</v>
      </c>
      <c r="H13" s="86">
        <v>1774803416.0163436</v>
      </c>
      <c r="I13" s="86">
        <v>123906710.62603644</v>
      </c>
      <c r="J13" s="86">
        <v>1040366000.0000002</v>
      </c>
      <c r="K13" s="86">
        <v>18097453.085304312</v>
      </c>
      <c r="L13" s="86">
        <v>24684681.235918753</v>
      </c>
      <c r="M13" s="86">
        <v>1046953228.1506145</v>
      </c>
      <c r="N13" s="86">
        <v>315947125.00001436</v>
      </c>
      <c r="O13" s="86">
        <v>16185922.00254778</v>
      </c>
      <c r="P13" s="86">
        <v>6505055.7884955639</v>
      </c>
      <c r="Q13" s="86">
        <v>306266258.78596216</v>
      </c>
      <c r="R13" s="86">
        <v>5.7125289458781481E-6</v>
      </c>
      <c r="S13" s="86">
        <v>6907170.1240393091</v>
      </c>
      <c r="T13" s="86">
        <v>5277728.0670637395</v>
      </c>
      <c r="U13" s="86">
        <v>-1629442.0569698568</v>
      </c>
      <c r="V13" t="s">
        <v>6</v>
      </c>
    </row>
    <row r="14" spans="1:22" x14ac:dyDescent="0.3">
      <c r="A14" s="408" t="s">
        <v>726</v>
      </c>
      <c r="B14" t="s">
        <v>7</v>
      </c>
      <c r="C14" t="s">
        <v>735</v>
      </c>
      <c r="D14" s="86">
        <v>891458471.19556606</v>
      </c>
      <c r="E14" s="86">
        <v>24768067.96418114</v>
      </c>
      <c r="F14" s="22">
        <v>32516007.20740917</v>
      </c>
      <c r="G14" s="86">
        <v>899206410.43879437</v>
      </c>
      <c r="H14" s="86">
        <v>840525674.01256382</v>
      </c>
      <c r="I14" s="86">
        <v>58680736.426230729</v>
      </c>
      <c r="J14" s="86">
        <v>284138638.27811813</v>
      </c>
      <c r="K14" s="86">
        <v>10698441.784404075</v>
      </c>
      <c r="L14" s="86">
        <v>10671367.595381839</v>
      </c>
      <c r="M14" s="86">
        <v>284111564.08909589</v>
      </c>
      <c r="N14" s="86">
        <v>191035588.35011399</v>
      </c>
      <c r="O14" s="86">
        <v>11215463.870745014</v>
      </c>
      <c r="P14" s="86">
        <v>2203085.6524998364</v>
      </c>
      <c r="Q14" s="86">
        <v>182023210.13186878</v>
      </c>
      <c r="R14" s="86">
        <v>583761.72187806421</v>
      </c>
      <c r="S14" s="86">
        <v>8700025.4304094464</v>
      </c>
      <c r="T14" s="86">
        <v>10002352.302322159</v>
      </c>
      <c r="U14" s="86">
        <v>1886088.5937907763</v>
      </c>
      <c r="V14" t="s">
        <v>7</v>
      </c>
    </row>
    <row r="15" spans="1:22" x14ac:dyDescent="0.3">
      <c r="A15" s="408" t="s">
        <v>726</v>
      </c>
      <c r="B15" t="s">
        <v>738</v>
      </c>
      <c r="C15" t="s">
        <v>737</v>
      </c>
      <c r="D15" s="86">
        <v>0</v>
      </c>
      <c r="E15" s="86">
        <v>0</v>
      </c>
      <c r="F15" s="22">
        <v>219789470.96528041</v>
      </c>
      <c r="G15" s="86">
        <v>219789470.96528029</v>
      </c>
      <c r="H15" s="86">
        <v>205446370.35428643</v>
      </c>
      <c r="I15" s="86">
        <v>14343100.610993899</v>
      </c>
      <c r="J15" s="86">
        <v>0</v>
      </c>
      <c r="K15" s="86">
        <v>0</v>
      </c>
      <c r="L15" s="86">
        <v>13616520.078676164</v>
      </c>
      <c r="M15" s="86">
        <v>13616520.07867616</v>
      </c>
      <c r="N15" s="86">
        <v>0</v>
      </c>
      <c r="O15" s="86">
        <v>0</v>
      </c>
      <c r="P15" s="86">
        <v>0</v>
      </c>
      <c r="Q15" s="86">
        <v>0</v>
      </c>
      <c r="R15" s="86">
        <v>0</v>
      </c>
      <c r="S15" s="86">
        <v>0</v>
      </c>
      <c r="T15" s="86">
        <v>0</v>
      </c>
      <c r="U15" s="86">
        <v>0</v>
      </c>
      <c r="V15" t="s">
        <v>738</v>
      </c>
    </row>
    <row r="16" spans="1:22" x14ac:dyDescent="0.3">
      <c r="A16" s="408" t="s">
        <v>726</v>
      </c>
      <c r="B16" t="s">
        <v>11</v>
      </c>
      <c r="C16" t="s">
        <v>736</v>
      </c>
      <c r="D16" s="86">
        <v>556183893.82297921</v>
      </c>
      <c r="E16" s="86">
        <v>31317322.37757289</v>
      </c>
      <c r="F16" s="22">
        <v>9225958.2564886995</v>
      </c>
      <c r="G16" s="86">
        <v>534092529.70189446</v>
      </c>
      <c r="H16" s="86">
        <v>499238526.66230106</v>
      </c>
      <c r="I16" s="86">
        <v>34854003.039593466</v>
      </c>
      <c r="J16" s="86">
        <v>89198069.999999955</v>
      </c>
      <c r="K16" s="86">
        <v>679795.51815811754</v>
      </c>
      <c r="L16" s="86">
        <v>2628964.8448331053</v>
      </c>
      <c r="M16" s="86">
        <v>91147239.326674953</v>
      </c>
      <c r="N16" s="86">
        <v>1869999.9999982999</v>
      </c>
      <c r="O16" s="86">
        <v>99903.216541209098</v>
      </c>
      <c r="P16" s="86">
        <v>228366.7818065699</v>
      </c>
      <c r="Q16" s="86">
        <v>1998463.5652636606</v>
      </c>
      <c r="R16" s="86">
        <v>4.0413287933915854E-6</v>
      </c>
      <c r="S16" s="86">
        <v>1564419.8244544612</v>
      </c>
      <c r="T16" s="86">
        <v>1084200.8644851963</v>
      </c>
      <c r="U16" s="86">
        <v>-480218.95996522345</v>
      </c>
      <c r="V16" t="s">
        <v>11</v>
      </c>
    </row>
    <row r="17" spans="1:22" x14ac:dyDescent="0.3">
      <c r="A17" s="408" t="s">
        <v>726</v>
      </c>
      <c r="B17" t="s">
        <v>8</v>
      </c>
      <c r="C17" t="s">
        <v>739</v>
      </c>
      <c r="D17" s="86">
        <v>2797102153.5236187</v>
      </c>
      <c r="E17" s="86">
        <v>197738513.2524403</v>
      </c>
      <c r="F17" s="22">
        <v>255881247.53088033</v>
      </c>
      <c r="G17" s="86">
        <v>2855244887.8020597</v>
      </c>
      <c r="H17" s="86">
        <v>2668916286.5505462</v>
      </c>
      <c r="I17" s="86">
        <v>186328601.25151402</v>
      </c>
      <c r="J17" s="86">
        <v>261886598.9272697</v>
      </c>
      <c r="K17" s="86">
        <v>21727626.572476331</v>
      </c>
      <c r="L17" s="86">
        <v>15690950.752913751</v>
      </c>
      <c r="M17" s="409">
        <v>255849923.10770702</v>
      </c>
      <c r="N17" s="86">
        <v>379429799.99997783</v>
      </c>
      <c r="O17" s="86">
        <v>6646887.6122840615</v>
      </c>
      <c r="P17" s="86">
        <v>5591007.2415092932</v>
      </c>
      <c r="Q17" s="86">
        <v>378373919.62920308</v>
      </c>
      <c r="R17" s="86">
        <v>3312731.0727341035</v>
      </c>
      <c r="S17" s="86">
        <v>5813889.7295726174</v>
      </c>
      <c r="T17" s="86">
        <v>3709741.0958547494</v>
      </c>
      <c r="U17" s="86">
        <v>1208582.4390162341</v>
      </c>
      <c r="V17" t="s">
        <v>8</v>
      </c>
    </row>
    <row r="18" spans="1:22" x14ac:dyDescent="0.3">
      <c r="A18" s="410" t="s">
        <v>726</v>
      </c>
      <c r="B18" t="s">
        <v>749</v>
      </c>
      <c r="C18" t="s">
        <v>748</v>
      </c>
      <c r="D18" s="86">
        <v>0</v>
      </c>
      <c r="E18" s="86">
        <v>0</v>
      </c>
      <c r="F18" s="22">
        <v>0</v>
      </c>
      <c r="G18" s="86">
        <v>0</v>
      </c>
      <c r="H18" s="86">
        <v>0</v>
      </c>
      <c r="I18" s="86">
        <v>0</v>
      </c>
      <c r="J18" s="86">
        <v>0</v>
      </c>
      <c r="K18" s="86">
        <v>0</v>
      </c>
      <c r="L18" s="86">
        <v>0</v>
      </c>
      <c r="M18" s="86">
        <v>0</v>
      </c>
      <c r="N18" s="86">
        <v>0</v>
      </c>
      <c r="O18" s="86">
        <v>0</v>
      </c>
      <c r="P18" s="86">
        <v>0</v>
      </c>
      <c r="Q18" s="86">
        <v>0</v>
      </c>
      <c r="R18" s="86">
        <v>0</v>
      </c>
      <c r="S18" s="86">
        <v>0</v>
      </c>
      <c r="T18" s="86">
        <v>0</v>
      </c>
      <c r="U18" s="86">
        <v>0</v>
      </c>
      <c r="V18" t="s">
        <v>749</v>
      </c>
    </row>
    <row r="19" spans="1:22" x14ac:dyDescent="0.3">
      <c r="A19" s="408" t="s">
        <v>751</v>
      </c>
      <c r="B19" t="s">
        <v>10</v>
      </c>
      <c r="C19" t="s">
        <v>750</v>
      </c>
      <c r="D19" s="86">
        <v>11309560.323678354</v>
      </c>
      <c r="E19" s="86">
        <v>0</v>
      </c>
      <c r="F19" s="22">
        <v>0</v>
      </c>
      <c r="G19" s="86">
        <v>11309560.323678354</v>
      </c>
      <c r="H19" s="86">
        <v>10571516.954829955</v>
      </c>
      <c r="I19" s="86">
        <v>738043.36884840135</v>
      </c>
      <c r="J19" s="86">
        <v>11062982.381235976</v>
      </c>
      <c r="K19" s="86">
        <v>0</v>
      </c>
      <c r="L19" s="86">
        <v>0</v>
      </c>
      <c r="M19" s="86">
        <v>11062982.381235976</v>
      </c>
      <c r="N19" s="86">
        <v>0</v>
      </c>
      <c r="O19" s="86">
        <v>0</v>
      </c>
      <c r="P19" s="86">
        <v>0</v>
      </c>
      <c r="Q19" s="86">
        <v>0</v>
      </c>
      <c r="R19" s="86">
        <v>0</v>
      </c>
      <c r="S19" s="86">
        <v>0</v>
      </c>
      <c r="T19" s="86">
        <v>0</v>
      </c>
      <c r="U19" s="86">
        <v>0</v>
      </c>
      <c r="V19" t="s">
        <v>10</v>
      </c>
    </row>
    <row r="20" spans="1:22" x14ac:dyDescent="0.3">
      <c r="A20" s="410" t="s">
        <v>751</v>
      </c>
      <c r="B20" t="s">
        <v>8</v>
      </c>
      <c r="C20" t="s">
        <v>3464</v>
      </c>
      <c r="D20" s="86">
        <v>0</v>
      </c>
      <c r="E20" s="86">
        <v>0</v>
      </c>
      <c r="F20" s="22">
        <v>0</v>
      </c>
      <c r="G20" s="86">
        <v>0</v>
      </c>
      <c r="H20" s="86">
        <v>0</v>
      </c>
      <c r="I20" s="86">
        <v>0</v>
      </c>
      <c r="J20" s="86">
        <v>0</v>
      </c>
      <c r="K20" s="86">
        <v>0</v>
      </c>
      <c r="L20" s="86">
        <v>0</v>
      </c>
      <c r="M20" s="86">
        <v>0</v>
      </c>
      <c r="N20" s="86">
        <v>0</v>
      </c>
      <c r="O20" s="86">
        <v>0</v>
      </c>
      <c r="P20" s="86">
        <v>0</v>
      </c>
      <c r="Q20" s="86">
        <v>0</v>
      </c>
      <c r="R20" s="86">
        <v>0</v>
      </c>
      <c r="S20" s="86">
        <v>0</v>
      </c>
      <c r="T20" s="86">
        <v>0</v>
      </c>
      <c r="U20" s="86">
        <v>0</v>
      </c>
      <c r="V20" t="s">
        <v>8</v>
      </c>
    </row>
    <row r="21" spans="1:22" x14ac:dyDescent="0.3">
      <c r="A21" s="408" t="s">
        <v>741</v>
      </c>
      <c r="B21" t="s">
        <v>729</v>
      </c>
      <c r="C21" t="s">
        <v>740</v>
      </c>
      <c r="D21" s="86">
        <v>592337038.1645546</v>
      </c>
      <c r="E21" s="86">
        <v>205099543.92901343</v>
      </c>
      <c r="F21" s="22">
        <v>11959477.604798255</v>
      </c>
      <c r="G21" s="86">
        <v>399196971.84033859</v>
      </c>
      <c r="H21" s="86">
        <v>373146031.79501432</v>
      </c>
      <c r="I21" s="86">
        <v>26050940.045324355</v>
      </c>
      <c r="J21" s="86">
        <v>61515000.00000003</v>
      </c>
      <c r="K21" s="86">
        <v>9668163.2498108186</v>
      </c>
      <c r="L21" s="86">
        <v>6059504.2202798137</v>
      </c>
      <c r="M21" s="86">
        <v>57906340.970469043</v>
      </c>
      <c r="N21" s="86">
        <v>0</v>
      </c>
      <c r="O21" s="86">
        <v>0</v>
      </c>
      <c r="P21" s="86">
        <v>3179246.5390269402</v>
      </c>
      <c r="Q21" s="86">
        <v>3179246.5390269402</v>
      </c>
      <c r="R21" s="86">
        <v>-1.7271668184548616E-6</v>
      </c>
      <c r="S21" s="86">
        <v>636759.61435942852</v>
      </c>
      <c r="T21" s="86">
        <v>0</v>
      </c>
      <c r="U21" s="86">
        <v>-636759.61436115566</v>
      </c>
      <c r="V21" t="s">
        <v>729</v>
      </c>
    </row>
    <row r="22" spans="1:22" x14ac:dyDescent="0.3">
      <c r="A22" s="408" t="s">
        <v>741</v>
      </c>
      <c r="B22" t="s">
        <v>9</v>
      </c>
      <c r="C22" t="s">
        <v>742</v>
      </c>
      <c r="D22" s="86">
        <v>143585419.18054038</v>
      </c>
      <c r="E22" s="86">
        <v>9607342.4004397281</v>
      </c>
      <c r="F22" s="22">
        <v>3820246.4393448243</v>
      </c>
      <c r="G22" s="86">
        <v>137798323.21944547</v>
      </c>
      <c r="H22" s="86">
        <v>128805830.51593934</v>
      </c>
      <c r="I22" s="86">
        <v>8992492.7035061661</v>
      </c>
      <c r="J22" s="86">
        <v>10679999.999999998</v>
      </c>
      <c r="K22" s="86">
        <v>1121177.9088249777</v>
      </c>
      <c r="L22" s="86">
        <v>1181218.2109313598</v>
      </c>
      <c r="M22" s="86">
        <v>10740040.30210638</v>
      </c>
      <c r="N22" s="86">
        <v>44686200.000006795</v>
      </c>
      <c r="O22" s="86">
        <v>3179246.5390269402</v>
      </c>
      <c r="P22" s="86">
        <v>0</v>
      </c>
      <c r="Q22" s="86">
        <v>41506953.460979849</v>
      </c>
      <c r="R22" s="86">
        <v>0</v>
      </c>
      <c r="S22" s="86">
        <v>0</v>
      </c>
      <c r="T22" s="86">
        <v>0</v>
      </c>
      <c r="U22" s="86">
        <v>0</v>
      </c>
      <c r="V22" t="s">
        <v>9</v>
      </c>
    </row>
    <row r="23" spans="1:22" x14ac:dyDescent="0.3">
      <c r="A23" s="408" t="s">
        <v>741</v>
      </c>
      <c r="B23" t="s">
        <v>6</v>
      </c>
      <c r="C23" t="s">
        <v>743</v>
      </c>
      <c r="D23" s="86">
        <v>160889142.68050534</v>
      </c>
      <c r="E23" s="86">
        <v>2462638.2005534819</v>
      </c>
      <c r="F23" s="22">
        <v>168288566.29858419</v>
      </c>
      <c r="G23" s="86">
        <v>326715070.77853602</v>
      </c>
      <c r="H23" s="86">
        <v>305394180.78902066</v>
      </c>
      <c r="I23" s="86">
        <v>21320889.989515424</v>
      </c>
      <c r="J23" s="86">
        <v>17850000.000000004</v>
      </c>
      <c r="K23" s="86">
        <v>247087.63883942552</v>
      </c>
      <c r="L23" s="86">
        <v>6571226.9787714574</v>
      </c>
      <c r="M23" s="86">
        <v>24174139.339932036</v>
      </c>
      <c r="N23" s="86">
        <v>0</v>
      </c>
      <c r="O23" s="86">
        <v>0</v>
      </c>
      <c r="P23" s="86">
        <v>0</v>
      </c>
      <c r="Q23" s="86">
        <v>0</v>
      </c>
      <c r="R23" s="86">
        <v>0</v>
      </c>
      <c r="S23" s="86">
        <v>0</v>
      </c>
      <c r="T23" s="86">
        <v>705849.90653527144</v>
      </c>
      <c r="U23" s="86">
        <v>705849.90653527144</v>
      </c>
      <c r="V23" t="s">
        <v>6</v>
      </c>
    </row>
    <row r="24" spans="1:22" x14ac:dyDescent="0.3">
      <c r="A24" s="408" t="s">
        <v>741</v>
      </c>
      <c r="B24" t="s">
        <v>7</v>
      </c>
      <c r="C24" t="s">
        <v>744</v>
      </c>
      <c r="D24" s="86">
        <v>72986734.010383829</v>
      </c>
      <c r="E24" s="86">
        <v>4183327.7124535185</v>
      </c>
      <c r="F24" s="22">
        <v>2983580.8968208074</v>
      </c>
      <c r="G24" s="86">
        <v>71786987.194751129</v>
      </c>
      <c r="H24" s="86">
        <v>67102286.078849666</v>
      </c>
      <c r="I24" s="86">
        <v>4684701.1159014879</v>
      </c>
      <c r="J24" s="86">
        <v>51229999.999999993</v>
      </c>
      <c r="K24" s="86">
        <v>5278806.1110038683</v>
      </c>
      <c r="L24" s="86">
        <v>274253.49356145883</v>
      </c>
      <c r="M24" s="86">
        <v>46225447.382557593</v>
      </c>
      <c r="N24" s="86">
        <v>0</v>
      </c>
      <c r="O24" s="86">
        <v>0</v>
      </c>
      <c r="P24" s="86">
        <v>0</v>
      </c>
      <c r="Q24" s="86">
        <v>0</v>
      </c>
      <c r="R24" s="86">
        <v>0</v>
      </c>
      <c r="S24" s="86">
        <v>0</v>
      </c>
      <c r="T24" s="86">
        <v>0</v>
      </c>
      <c r="U24" s="86">
        <v>0</v>
      </c>
      <c r="V24" t="s">
        <v>7</v>
      </c>
    </row>
    <row r="25" spans="1:22" x14ac:dyDescent="0.3">
      <c r="A25" s="408" t="s">
        <v>741</v>
      </c>
      <c r="B25" t="s">
        <v>738</v>
      </c>
      <c r="C25" t="s">
        <v>746</v>
      </c>
      <c r="D25" s="86">
        <v>0</v>
      </c>
      <c r="E25" s="86">
        <v>0</v>
      </c>
      <c r="F25" s="22">
        <v>0</v>
      </c>
      <c r="G25" s="86">
        <v>0</v>
      </c>
      <c r="H25" s="86">
        <v>0</v>
      </c>
      <c r="I25" s="86">
        <v>0</v>
      </c>
      <c r="J25" s="86">
        <v>0</v>
      </c>
      <c r="K25" s="86">
        <v>0</v>
      </c>
      <c r="L25" s="86">
        <v>0</v>
      </c>
      <c r="M25" s="86">
        <v>0</v>
      </c>
      <c r="N25" s="86">
        <v>0</v>
      </c>
      <c r="O25" s="86">
        <v>0</v>
      </c>
      <c r="P25" s="86">
        <v>0</v>
      </c>
      <c r="Q25" s="86">
        <v>0</v>
      </c>
      <c r="R25" s="86">
        <v>0</v>
      </c>
      <c r="S25" s="86">
        <v>0</v>
      </c>
      <c r="T25" s="86">
        <v>0</v>
      </c>
      <c r="U25" s="86">
        <v>0</v>
      </c>
      <c r="V25" t="s">
        <v>738</v>
      </c>
    </row>
    <row r="26" spans="1:22" x14ac:dyDescent="0.3">
      <c r="A26" s="410" t="s">
        <v>741</v>
      </c>
      <c r="B26" t="s">
        <v>11</v>
      </c>
      <c r="C26" t="s">
        <v>747</v>
      </c>
      <c r="D26" s="86">
        <v>0</v>
      </c>
      <c r="E26" s="86">
        <v>0</v>
      </c>
      <c r="F26" s="22">
        <v>4641125.8394914614</v>
      </c>
      <c r="G26" s="86">
        <v>4641125.8394914614</v>
      </c>
      <c r="H26" s="86">
        <v>4338253.5746293059</v>
      </c>
      <c r="I26" s="86">
        <v>302872.26486215618</v>
      </c>
      <c r="J26" s="86">
        <v>0</v>
      </c>
      <c r="K26" s="86">
        <v>0</v>
      </c>
      <c r="L26" s="86">
        <v>734660.10679662414</v>
      </c>
      <c r="M26" s="86">
        <v>734660.10679662414</v>
      </c>
      <c r="N26" s="86">
        <v>0</v>
      </c>
      <c r="O26" s="86">
        <v>0</v>
      </c>
      <c r="P26" s="86">
        <v>0</v>
      </c>
      <c r="Q26" s="86">
        <v>0</v>
      </c>
      <c r="R26" s="86">
        <v>0</v>
      </c>
      <c r="S26" s="86">
        <v>0</v>
      </c>
      <c r="T26" s="86">
        <v>0</v>
      </c>
      <c r="U26" s="86">
        <v>0</v>
      </c>
      <c r="V26" t="s">
        <v>11</v>
      </c>
    </row>
    <row r="27" spans="1:22" x14ac:dyDescent="0.3">
      <c r="A27" s="410" t="s">
        <v>741</v>
      </c>
      <c r="B27" t="s">
        <v>3796</v>
      </c>
      <c r="C27" t="s">
        <v>3797</v>
      </c>
      <c r="D27" s="86">
        <v>0</v>
      </c>
      <c r="E27" s="86">
        <v>0</v>
      </c>
      <c r="F27" s="22">
        <v>29659855.163420677</v>
      </c>
      <c r="G27" s="86">
        <v>29659855.163420677</v>
      </c>
      <c r="H27" s="86">
        <v>27724301.631906647</v>
      </c>
      <c r="I27" s="86">
        <v>1935553.5315140348</v>
      </c>
      <c r="J27" s="86">
        <v>0</v>
      </c>
      <c r="K27" s="86">
        <v>0</v>
      </c>
      <c r="L27" s="86">
        <v>1494371.8981383718</v>
      </c>
      <c r="M27" s="86">
        <v>1494371.8981383718</v>
      </c>
      <c r="N27" s="86">
        <v>0</v>
      </c>
      <c r="O27" s="86">
        <v>0</v>
      </c>
      <c r="P27" s="86">
        <v>0</v>
      </c>
      <c r="Q27" s="86">
        <v>0</v>
      </c>
      <c r="R27" s="86">
        <v>0</v>
      </c>
      <c r="S27" s="86">
        <v>0</v>
      </c>
      <c r="T27" s="86">
        <v>-69090.292175842944</v>
      </c>
      <c r="U27" s="86">
        <v>-69090.292175842944</v>
      </c>
    </row>
    <row r="28" spans="1:22" x14ac:dyDescent="0.3">
      <c r="A28" t="s">
        <v>3465</v>
      </c>
      <c r="B28" t="s">
        <v>10</v>
      </c>
      <c r="C28" t="s">
        <v>3466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t="s">
        <v>10</v>
      </c>
    </row>
    <row r="30" spans="1:22" x14ac:dyDescent="0.3">
      <c r="B30" s="70" t="s">
        <v>784</v>
      </c>
      <c r="D30" s="632">
        <f>D6+D21</f>
        <v>592337038.1645546</v>
      </c>
      <c r="E30" s="632">
        <f t="shared" ref="E30:U30" si="0">E6+E21</f>
        <v>205099543.92901343</v>
      </c>
      <c r="F30" s="632">
        <f t="shared" si="0"/>
        <v>12158169.957134506</v>
      </c>
      <c r="G30" s="632">
        <f t="shared" si="0"/>
        <v>399395664.19267482</v>
      </c>
      <c r="H30" s="632">
        <f t="shared" si="0"/>
        <v>373331757.81012034</v>
      </c>
      <c r="I30" s="632">
        <f t="shared" si="0"/>
        <v>26063906.382554606</v>
      </c>
      <c r="J30" s="632">
        <f t="shared" si="0"/>
        <v>61515000.00000003</v>
      </c>
      <c r="K30" s="632">
        <f t="shared" si="0"/>
        <v>9668163.2498108186</v>
      </c>
      <c r="L30" s="632">
        <f t="shared" si="0"/>
        <v>6059504.2202798137</v>
      </c>
      <c r="M30" s="632">
        <f t="shared" si="0"/>
        <v>57906340.970469043</v>
      </c>
      <c r="N30" s="632">
        <f t="shared" si="0"/>
        <v>0</v>
      </c>
      <c r="O30" s="632">
        <f t="shared" si="0"/>
        <v>0</v>
      </c>
      <c r="P30" s="632">
        <f t="shared" si="0"/>
        <v>3179246.5390269402</v>
      </c>
      <c r="Q30" s="632">
        <f t="shared" si="0"/>
        <v>3179246.5390269402</v>
      </c>
      <c r="R30" s="632">
        <f t="shared" si="0"/>
        <v>-1.7271668184548616E-6</v>
      </c>
      <c r="S30" s="632">
        <f t="shared" si="0"/>
        <v>636759.61435942852</v>
      </c>
      <c r="T30" s="632">
        <f t="shared" si="0"/>
        <v>19810.919275392615</v>
      </c>
      <c r="U30" s="632">
        <f t="shared" si="0"/>
        <v>-616948.695085763</v>
      </c>
    </row>
    <row r="31" spans="1:22" x14ac:dyDescent="0.3">
      <c r="F31" s="2">
        <f>F30*H2</f>
        <v>11364747.714590909</v>
      </c>
      <c r="H31" s="411"/>
      <c r="I31" s="411"/>
    </row>
    <row r="32" spans="1:22" x14ac:dyDescent="0.3">
      <c r="F32" s="2">
        <f>F21*H2</f>
        <v>11179021.699484909</v>
      </c>
      <c r="H32" s="411"/>
      <c r="I32" s="672"/>
    </row>
    <row r="33" spans="8:9" x14ac:dyDescent="0.3">
      <c r="H33" s="411"/>
      <c r="I33" s="672"/>
    </row>
    <row r="34" spans="8:9" x14ac:dyDescent="0.3">
      <c r="H34" s="411"/>
      <c r="I34" s="672"/>
    </row>
    <row r="35" spans="8:9" x14ac:dyDescent="0.3">
      <c r="H35" s="411"/>
      <c r="I35" s="672"/>
    </row>
    <row r="36" spans="8:9" x14ac:dyDescent="0.3">
      <c r="H36" s="411"/>
      <c r="I36" s="672"/>
    </row>
    <row r="37" spans="8:9" x14ac:dyDescent="0.3">
      <c r="H37" s="411"/>
      <c r="I37" s="672"/>
    </row>
    <row r="38" spans="8:9" x14ac:dyDescent="0.3">
      <c r="H38" s="411"/>
      <c r="I38" s="672"/>
    </row>
    <row r="39" spans="8:9" x14ac:dyDescent="0.3">
      <c r="H39" s="411"/>
      <c r="I39" s="672"/>
    </row>
    <row r="40" spans="8:9" x14ac:dyDescent="0.3">
      <c r="H40" s="411"/>
      <c r="I40" s="672"/>
    </row>
    <row r="41" spans="8:9" x14ac:dyDescent="0.3">
      <c r="H41" s="411"/>
      <c r="I41" s="672"/>
    </row>
    <row r="42" spans="8:9" x14ac:dyDescent="0.3">
      <c r="H42" s="411"/>
      <c r="I42" s="672"/>
    </row>
    <row r="43" spans="8:9" x14ac:dyDescent="0.3">
      <c r="H43" s="411"/>
      <c r="I43" s="672"/>
    </row>
    <row r="44" spans="8:9" x14ac:dyDescent="0.3">
      <c r="I44" s="672"/>
    </row>
    <row r="45" spans="8:9" x14ac:dyDescent="0.3">
      <c r="I45" s="672"/>
    </row>
    <row r="46" spans="8:9" x14ac:dyDescent="0.3">
      <c r="I46" s="672"/>
    </row>
    <row r="47" spans="8:9" x14ac:dyDescent="0.3">
      <c r="I47" s="672"/>
    </row>
    <row r="48" spans="8:9" x14ac:dyDescent="0.3">
      <c r="I48" s="672"/>
    </row>
    <row r="49" spans="9:9" x14ac:dyDescent="0.3">
      <c r="I49" s="672"/>
    </row>
    <row r="50" spans="9:9" x14ac:dyDescent="0.3">
      <c r="I50" s="672"/>
    </row>
    <row r="51" spans="9:9" x14ac:dyDescent="0.3">
      <c r="I51" s="672"/>
    </row>
    <row r="52" spans="9:9" x14ac:dyDescent="0.3">
      <c r="I52" s="672"/>
    </row>
    <row r="53" spans="9:9" x14ac:dyDescent="0.3">
      <c r="I53" s="672"/>
    </row>
    <row r="60" spans="9:9" ht="33.75" customHeight="1" x14ac:dyDescent="0.3"/>
    <row r="75" ht="12.75" customHeight="1" x14ac:dyDescent="0.3"/>
  </sheetData>
  <mergeCells count="5">
    <mergeCell ref="R3:U3"/>
    <mergeCell ref="V3:V4"/>
    <mergeCell ref="D3:I3"/>
    <mergeCell ref="J3:M3"/>
    <mergeCell ref="N3:Q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7"/>
  <sheetViews>
    <sheetView zoomScale="85" zoomScaleNormal="85" workbookViewId="0">
      <pane xSplit="4" ySplit="1" topLeftCell="E50" activePane="bottomRight" state="frozen"/>
      <selection pane="topRight" activeCell="E1" sqref="E1"/>
      <selection pane="bottomLeft" activeCell="A2" sqref="A2"/>
      <selection pane="bottomRight" activeCell="D58" sqref="D58"/>
    </sheetView>
  </sheetViews>
  <sheetFormatPr defaultColWidth="8.88671875" defaultRowHeight="14.4" x14ac:dyDescent="0.3"/>
  <cols>
    <col min="1" max="2" width="8.88671875" style="605"/>
    <col min="3" max="3" width="30.6640625" style="605" customWidth="1"/>
    <col min="4" max="5" width="15.44140625" style="605" customWidth="1"/>
    <col min="6" max="6" width="15.109375" style="605" customWidth="1"/>
    <col min="7" max="7" width="17.33203125" style="605" customWidth="1"/>
    <col min="8" max="8" width="16.44140625" style="605" customWidth="1"/>
    <col min="9" max="9" width="16" style="605" customWidth="1"/>
    <col min="10" max="10" width="16.21875" style="605" customWidth="1"/>
    <col min="11" max="11" width="19.88671875" style="605" bestFit="1" customWidth="1"/>
    <col min="12" max="12" width="15.21875" style="605" customWidth="1"/>
    <col min="13" max="16384" width="8.88671875" style="605"/>
  </cols>
  <sheetData>
    <row r="1" spans="1:12" ht="31.5" customHeight="1" x14ac:dyDescent="0.3">
      <c r="A1" s="599"/>
      <c r="B1" s="600">
        <v>1</v>
      </c>
      <c r="C1" s="598" t="s">
        <v>3</v>
      </c>
      <c r="D1" s="563" t="s">
        <v>784</v>
      </c>
      <c r="E1" s="601" t="s">
        <v>14</v>
      </c>
      <c r="F1" s="602" t="s">
        <v>3647</v>
      </c>
      <c r="G1" s="602" t="s">
        <v>3746</v>
      </c>
      <c r="H1" s="602" t="s">
        <v>3747</v>
      </c>
      <c r="I1" s="565" t="s">
        <v>3748</v>
      </c>
      <c r="J1" s="565" t="s">
        <v>3749</v>
      </c>
      <c r="K1" s="603" t="s">
        <v>15</v>
      </c>
      <c r="L1" s="604" t="s">
        <v>2919</v>
      </c>
    </row>
    <row r="2" spans="1:12" ht="28.2" customHeight="1" x14ac:dyDescent="0.3">
      <c r="A2" s="364" t="s">
        <v>3224</v>
      </c>
      <c r="B2" s="568">
        <v>2</v>
      </c>
      <c r="C2" s="566" t="s">
        <v>17</v>
      </c>
      <c r="D2" s="569">
        <v>373331758</v>
      </c>
      <c r="E2" s="569"/>
      <c r="F2" s="569">
        <v>128805830</v>
      </c>
      <c r="G2" s="569">
        <v>305394181</v>
      </c>
      <c r="H2" s="569">
        <v>67102286</v>
      </c>
      <c r="I2" s="569">
        <v>27724302</v>
      </c>
      <c r="J2" s="569">
        <v>4338254</v>
      </c>
      <c r="K2" s="567">
        <v>906696611</v>
      </c>
      <c r="L2" s="606">
        <f>D2-VLOOKUP(B2,'1 kari főtábla'!A:I,9,0)</f>
        <v>0</v>
      </c>
    </row>
    <row r="3" spans="1:12" ht="28.2" customHeight="1" x14ac:dyDescent="0.3">
      <c r="A3" s="364" t="s">
        <v>3224</v>
      </c>
      <c r="B3" s="568">
        <v>4</v>
      </c>
      <c r="C3" s="566" t="s">
        <v>19</v>
      </c>
      <c r="D3" s="569">
        <v>57906340.970469043</v>
      </c>
      <c r="E3" s="569">
        <v>0</v>
      </c>
      <c r="F3" s="569">
        <v>10740040.30210638</v>
      </c>
      <c r="G3" s="569">
        <v>24174139.339932036</v>
      </c>
      <c r="H3" s="569">
        <v>46225447.382557593</v>
      </c>
      <c r="I3" s="569">
        <v>1494372</v>
      </c>
      <c r="J3" s="569">
        <v>734660</v>
      </c>
      <c r="K3" s="567">
        <v>141274999.99506506</v>
      </c>
      <c r="L3" s="606">
        <f>D3-VLOOKUP(B3,'1 kari főtábla'!A:I,9,0)</f>
        <v>0</v>
      </c>
    </row>
    <row r="4" spans="1:12" ht="28.2" customHeight="1" x14ac:dyDescent="0.3">
      <c r="A4" s="364"/>
      <c r="B4" s="568">
        <v>5</v>
      </c>
      <c r="C4" s="566" t="s">
        <v>21</v>
      </c>
      <c r="D4" s="569">
        <v>12231887</v>
      </c>
      <c r="E4" s="569">
        <v>66837796</v>
      </c>
      <c r="F4" s="569">
        <v>941796</v>
      </c>
      <c r="G4" s="569">
        <v>27739428</v>
      </c>
      <c r="H4" s="569">
        <v>185376</v>
      </c>
      <c r="I4" s="569">
        <v>0</v>
      </c>
      <c r="J4" s="569"/>
      <c r="K4" s="567">
        <v>107936283</v>
      </c>
      <c r="L4" s="606">
        <f>D4-VLOOKUP(B4,'1 kari főtábla'!A:I,9,0)</f>
        <v>0</v>
      </c>
    </row>
    <row r="5" spans="1:12" ht="28.2" customHeight="1" x14ac:dyDescent="0.3">
      <c r="A5" s="364" t="s">
        <v>3224</v>
      </c>
      <c r="B5" s="568">
        <v>6</v>
      </c>
      <c r="C5" s="566" t="s">
        <v>3225</v>
      </c>
      <c r="D5" s="569">
        <v>-616949</v>
      </c>
      <c r="E5" s="569">
        <v>0</v>
      </c>
      <c r="F5" s="569">
        <v>0</v>
      </c>
      <c r="G5" s="569">
        <v>705850</v>
      </c>
      <c r="H5" s="569">
        <v>0</v>
      </c>
      <c r="I5" s="569">
        <v>-69090</v>
      </c>
      <c r="J5" s="569">
        <v>0</v>
      </c>
      <c r="K5" s="567">
        <v>19811</v>
      </c>
      <c r="L5" s="606">
        <f>D5-VLOOKUP(B5,'1 kari főtábla'!A:I,9,0)</f>
        <v>0</v>
      </c>
    </row>
    <row r="6" spans="1:12" ht="28.2" customHeight="1" x14ac:dyDescent="0.3">
      <c r="A6" s="364"/>
      <c r="B6" s="568"/>
      <c r="C6" s="566"/>
      <c r="D6" s="569"/>
      <c r="E6" s="569"/>
      <c r="F6" s="569"/>
      <c r="G6" s="569"/>
      <c r="H6" s="569"/>
      <c r="I6" s="584"/>
      <c r="J6" s="584"/>
      <c r="K6" s="567"/>
      <c r="L6" s="606" t="e">
        <f>D6-VLOOKUP(B6,'1 kari főtábla'!A:I,9,0)</f>
        <v>#N/A</v>
      </c>
    </row>
    <row r="7" spans="1:12" ht="28.2" customHeight="1" x14ac:dyDescent="0.3">
      <c r="A7" s="364" t="s">
        <v>3226</v>
      </c>
      <c r="B7" s="568" t="s">
        <v>3187</v>
      </c>
      <c r="C7" s="566" t="s">
        <v>23</v>
      </c>
      <c r="D7" s="569">
        <v>79837000</v>
      </c>
      <c r="E7" s="569"/>
      <c r="F7" s="569">
        <v>2564000</v>
      </c>
      <c r="G7" s="569">
        <v>24079000</v>
      </c>
      <c r="H7" s="569">
        <v>6527000</v>
      </c>
      <c r="I7" s="584"/>
      <c r="J7" s="584"/>
      <c r="K7" s="567">
        <v>113007000</v>
      </c>
      <c r="L7" s="606">
        <f>D7-VLOOKUP(B7,'1 kari főtábla'!A:I,9,0)</f>
        <v>0</v>
      </c>
    </row>
    <row r="8" spans="1:12" ht="28.2" customHeight="1" x14ac:dyDescent="0.3">
      <c r="A8" s="364" t="s">
        <v>3227</v>
      </c>
      <c r="B8" s="568" t="s">
        <v>3188</v>
      </c>
      <c r="C8" s="570" t="s">
        <v>3750</v>
      </c>
      <c r="D8" s="569">
        <v>158670985</v>
      </c>
      <c r="E8" s="569"/>
      <c r="F8" s="569">
        <v>36364169</v>
      </c>
      <c r="G8" s="569">
        <v>64804719</v>
      </c>
      <c r="H8" s="569">
        <v>18776278</v>
      </c>
      <c r="I8" s="584"/>
      <c r="J8" s="584"/>
      <c r="K8" s="567">
        <v>278616151</v>
      </c>
      <c r="L8" s="606">
        <f>D8-VLOOKUP(B8,'1 kari főtábla'!A:I,9,0)</f>
        <v>0</v>
      </c>
    </row>
    <row r="9" spans="1:12" ht="28.2" customHeight="1" x14ac:dyDescent="0.3">
      <c r="A9" s="364"/>
      <c r="B9" s="568" t="s">
        <v>3189</v>
      </c>
      <c r="C9" s="570" t="s">
        <v>3751</v>
      </c>
      <c r="D9" s="569">
        <v>89133393</v>
      </c>
      <c r="E9" s="569"/>
      <c r="F9" s="569"/>
      <c r="G9" s="569"/>
      <c r="H9" s="569"/>
      <c r="I9" s="584"/>
      <c r="J9" s="584"/>
      <c r="K9" s="567">
        <v>89133393</v>
      </c>
      <c r="L9" s="606">
        <f>D9-VLOOKUP(B9,'1 kari főtábla'!A:I,9,0)</f>
        <v>0</v>
      </c>
    </row>
    <row r="10" spans="1:12" ht="28.2" customHeight="1" x14ac:dyDescent="0.3">
      <c r="A10" s="364"/>
      <c r="B10" s="568" t="s">
        <v>3190</v>
      </c>
      <c r="C10" s="570" t="s">
        <v>3752</v>
      </c>
      <c r="D10" s="569">
        <v>12664787.593646189</v>
      </c>
      <c r="E10" s="569">
        <v>0</v>
      </c>
      <c r="F10" s="569">
        <v>4783263.4895893447</v>
      </c>
      <c r="G10" s="569">
        <v>5861674.0404959517</v>
      </c>
      <c r="H10" s="569">
        <v>1812668.7654932905</v>
      </c>
      <c r="I10" s="569">
        <v>0</v>
      </c>
      <c r="J10" s="569">
        <v>40560.885456057367</v>
      </c>
      <c r="K10" s="567">
        <v>25162954.774680834</v>
      </c>
      <c r="L10" s="606">
        <f>D10-VLOOKUP(B10,'1 kari főtábla'!A:I,9,0)</f>
        <v>0</v>
      </c>
    </row>
    <row r="11" spans="1:12" ht="28.2" customHeight="1" x14ac:dyDescent="0.3">
      <c r="A11" s="364" t="s">
        <v>3226</v>
      </c>
      <c r="B11" s="723">
        <v>8</v>
      </c>
      <c r="C11" s="570" t="s">
        <v>24</v>
      </c>
      <c r="D11" s="569">
        <v>184259786</v>
      </c>
      <c r="E11" s="569">
        <v>10305392</v>
      </c>
      <c r="F11" s="569">
        <v>130246184</v>
      </c>
      <c r="G11" s="569">
        <v>421045</v>
      </c>
      <c r="H11" s="626">
        <v>0</v>
      </c>
      <c r="I11" s="563"/>
      <c r="J11" s="563"/>
      <c r="K11" s="567">
        <v>325232407</v>
      </c>
      <c r="L11" s="606">
        <f>D11-VLOOKUP(B11,'1 kari főtábla'!A:I,9,0)</f>
        <v>0</v>
      </c>
    </row>
    <row r="12" spans="1:12" ht="28.2" customHeight="1" x14ac:dyDescent="0.3">
      <c r="A12" s="364"/>
      <c r="B12" s="568">
        <v>9</v>
      </c>
      <c r="C12" s="570" t="s">
        <v>25</v>
      </c>
      <c r="D12" s="567">
        <v>967418988.56411517</v>
      </c>
      <c r="E12" s="567">
        <v>77143188</v>
      </c>
      <c r="F12" s="567">
        <v>314445282.79169571</v>
      </c>
      <c r="G12" s="567">
        <v>453180036.38042796</v>
      </c>
      <c r="H12" s="567">
        <v>140629056.1480509</v>
      </c>
      <c r="I12" s="567">
        <v>29149584</v>
      </c>
      <c r="J12" s="567">
        <v>5113474.8854560573</v>
      </c>
      <c r="K12" s="567">
        <v>1987079610.7697458</v>
      </c>
      <c r="L12" s="606" t="e">
        <f>D12-VLOOKUP(B12,'1 kari főtábla'!A:I,9,0)</f>
        <v>#N/A</v>
      </c>
    </row>
    <row r="13" spans="1:12" ht="28.2" customHeight="1" x14ac:dyDescent="0.3">
      <c r="A13" s="364"/>
      <c r="B13" s="568">
        <v>10</v>
      </c>
      <c r="C13" s="571" t="s">
        <v>3753</v>
      </c>
      <c r="D13" s="586">
        <v>-188646702.77000245</v>
      </c>
      <c r="E13" s="586">
        <v>372437602.44010043</v>
      </c>
      <c r="F13" s="586">
        <v>-61316830.144380666</v>
      </c>
      <c r="G13" s="586">
        <v>-88370107.09418346</v>
      </c>
      <c r="H13" s="586">
        <v>-27422665.948869929</v>
      </c>
      <c r="I13" s="586">
        <v>-5684168.8799999999</v>
      </c>
      <c r="J13" s="586">
        <v>-997127.6026639312</v>
      </c>
      <c r="K13" s="567">
        <v>-1.6298145055770874E-9</v>
      </c>
      <c r="L13" s="606">
        <f>D13-VLOOKUP(B13,'1 kari főtábla'!A:I,9,0)</f>
        <v>0</v>
      </c>
    </row>
    <row r="14" spans="1:12" ht="28.2" customHeight="1" x14ac:dyDescent="0.3">
      <c r="A14" s="364"/>
      <c r="B14" s="568">
        <v>11</v>
      </c>
      <c r="C14" s="572" t="s">
        <v>3284</v>
      </c>
      <c r="D14" s="586">
        <v>-4837094.942820576</v>
      </c>
      <c r="E14" s="586">
        <v>0</v>
      </c>
      <c r="F14" s="586">
        <v>-1572226.4139584787</v>
      </c>
      <c r="G14" s="586">
        <v>-2265900.1819021399</v>
      </c>
      <c r="H14" s="586">
        <v>-703145.28074025456</v>
      </c>
      <c r="I14" s="586">
        <v>0</v>
      </c>
      <c r="J14" s="586">
        <v>-25567.374427280287</v>
      </c>
      <c r="K14" s="567">
        <v>-9403934.1938487273</v>
      </c>
      <c r="L14" s="606">
        <f>D14-VLOOKUP(B14,'1 kari főtábla'!A:I,9,0)</f>
        <v>0</v>
      </c>
    </row>
    <row r="15" spans="1:12" ht="28.2" customHeight="1" x14ac:dyDescent="0.3">
      <c r="A15" s="364"/>
      <c r="B15" s="568">
        <v>12</v>
      </c>
      <c r="C15" s="572" t="s">
        <v>26</v>
      </c>
      <c r="D15" s="586">
        <v>-14511284.828461727</v>
      </c>
      <c r="E15" s="586">
        <v>0</v>
      </c>
      <c r="F15" s="586">
        <v>-4716679.2418754352</v>
      </c>
      <c r="G15" s="586">
        <v>-6797700.5457064193</v>
      </c>
      <c r="H15" s="586">
        <v>-2109435.8422207637</v>
      </c>
      <c r="I15" s="586">
        <v>0</v>
      </c>
      <c r="J15" s="586">
        <v>-76702.123281840861</v>
      </c>
      <c r="K15" s="567">
        <v>-28211802.581546187</v>
      </c>
      <c r="L15" s="606">
        <f>D15-VLOOKUP(B15,'1 kari főtábla'!A:I,9,0)</f>
        <v>0</v>
      </c>
    </row>
    <row r="16" spans="1:12" ht="28.2" customHeight="1" x14ac:dyDescent="0.3">
      <c r="A16" s="364"/>
      <c r="B16" s="568">
        <v>13</v>
      </c>
      <c r="C16" s="572" t="s">
        <v>27</v>
      </c>
      <c r="D16" s="586">
        <v>14511284.828461727</v>
      </c>
      <c r="E16" s="586">
        <v>0</v>
      </c>
      <c r="F16" s="586">
        <v>4716679.2418754352</v>
      </c>
      <c r="G16" s="586">
        <v>6797700.5457064193</v>
      </c>
      <c r="H16" s="586">
        <v>2109435.8422207637</v>
      </c>
      <c r="I16" s="586">
        <v>0</v>
      </c>
      <c r="J16" s="586">
        <v>76702.123281840861</v>
      </c>
      <c r="K16" s="567">
        <v>28211802.581546187</v>
      </c>
      <c r="L16" s="606">
        <f>D16-VLOOKUP(B16,'1 kari főtábla'!A:I,9,0)</f>
        <v>0</v>
      </c>
    </row>
    <row r="17" spans="1:12" ht="28.2" customHeight="1" x14ac:dyDescent="0.3">
      <c r="A17" s="364"/>
      <c r="B17" s="568"/>
      <c r="C17" s="571" t="s">
        <v>28</v>
      </c>
      <c r="D17" s="581">
        <v>47338783</v>
      </c>
      <c r="E17" s="586"/>
      <c r="F17" s="586"/>
      <c r="G17" s="586">
        <v>30917364</v>
      </c>
      <c r="H17" s="586"/>
      <c r="I17" s="627"/>
      <c r="J17" s="627"/>
      <c r="K17" s="567">
        <v>78256147</v>
      </c>
      <c r="L17" s="606" t="e">
        <f>D17-VLOOKUP(B17,'1 kari főtábla'!A:I,9,0)</f>
        <v>#N/A</v>
      </c>
    </row>
    <row r="18" spans="1:12" ht="28.2" customHeight="1" x14ac:dyDescent="0.3">
      <c r="A18" s="364"/>
      <c r="B18" s="568"/>
      <c r="C18" s="571" t="s">
        <v>29</v>
      </c>
      <c r="D18" s="581">
        <v>196443091</v>
      </c>
      <c r="E18" s="586"/>
      <c r="F18" s="586">
        <v>1673331</v>
      </c>
      <c r="G18" s="586">
        <v>133219446</v>
      </c>
      <c r="H18" s="586">
        <v>584087</v>
      </c>
      <c r="I18" s="627"/>
      <c r="J18" s="627">
        <v>252578</v>
      </c>
      <c r="K18" s="567">
        <v>332172533</v>
      </c>
      <c r="L18" s="606" t="e">
        <f>D18-VLOOKUP(B18,'1 kari főtábla'!A:I,9,0)</f>
        <v>#N/A</v>
      </c>
    </row>
    <row r="19" spans="1:12" ht="28.2" customHeight="1" x14ac:dyDescent="0.3">
      <c r="A19" s="364" t="s">
        <v>3229</v>
      </c>
      <c r="B19" s="723">
        <v>14</v>
      </c>
      <c r="C19" s="571" t="s">
        <v>3754</v>
      </c>
      <c r="D19" s="578">
        <v>-9945198.5999999996</v>
      </c>
      <c r="E19" s="578"/>
      <c r="F19" s="578"/>
      <c r="G19" s="578">
        <v>-6630132.4000000004</v>
      </c>
      <c r="H19" s="578"/>
      <c r="I19" s="577">
        <v>16575331</v>
      </c>
      <c r="J19" s="577"/>
      <c r="K19" s="567">
        <v>0</v>
      </c>
      <c r="L19" s="606">
        <f>D19-VLOOKUP(B19,'1 kari főtábla'!A:I,9,0)</f>
        <v>0</v>
      </c>
    </row>
    <row r="20" spans="1:12" ht="28.2" customHeight="1" x14ac:dyDescent="0.3">
      <c r="A20" s="364"/>
      <c r="B20" s="723">
        <v>15</v>
      </c>
      <c r="C20" s="573" t="s">
        <v>3755</v>
      </c>
      <c r="D20" s="578">
        <v>2965575</v>
      </c>
      <c r="E20" s="622"/>
      <c r="F20" s="622"/>
      <c r="G20" s="578">
        <v>1977050</v>
      </c>
      <c r="H20" s="622"/>
      <c r="I20" s="622">
        <v>-4942625</v>
      </c>
      <c r="J20" s="622"/>
      <c r="K20" s="567">
        <v>0</v>
      </c>
      <c r="L20" s="606">
        <f>D20-VLOOKUP(B20,'1 kari főtábla'!A:I,9,0)</f>
        <v>0</v>
      </c>
    </row>
    <row r="21" spans="1:12" ht="28.2" customHeight="1" x14ac:dyDescent="0.3">
      <c r="A21" s="364"/>
      <c r="B21" s="723">
        <v>16</v>
      </c>
      <c r="C21" s="571" t="s">
        <v>3756</v>
      </c>
      <c r="D21" s="622">
        <v>-16800287</v>
      </c>
      <c r="E21" s="622"/>
      <c r="F21" s="622">
        <v>-22137772</v>
      </c>
      <c r="G21" s="622">
        <v>-29018128</v>
      </c>
      <c r="H21" s="622">
        <v>-7557413</v>
      </c>
      <c r="I21" s="569"/>
      <c r="J21" s="569"/>
      <c r="K21" s="567">
        <v>-75513600</v>
      </c>
      <c r="L21" s="606">
        <f>D21-VLOOKUP(B21,'1 kari főtábla'!A:I,9,0)</f>
        <v>-7155814</v>
      </c>
    </row>
    <row r="22" spans="1:12" ht="28.2" customHeight="1" x14ac:dyDescent="0.3">
      <c r="A22" s="364" t="s">
        <v>3230</v>
      </c>
      <c r="B22" s="568">
        <v>17</v>
      </c>
      <c r="C22" s="571" t="s">
        <v>30</v>
      </c>
      <c r="D22" s="569">
        <v>-42158065</v>
      </c>
      <c r="E22" s="569">
        <v>-17310524</v>
      </c>
      <c r="F22" s="569">
        <v>-19229250</v>
      </c>
      <c r="G22" s="569">
        <v>-23400262</v>
      </c>
      <c r="H22" s="569">
        <v>-7360292</v>
      </c>
      <c r="I22" s="584">
        <v>-2762863</v>
      </c>
      <c r="J22" s="569">
        <v>-379690</v>
      </c>
      <c r="K22" s="567">
        <v>-112600946</v>
      </c>
      <c r="L22" s="606">
        <f>D22-VLOOKUP(B22,'1 kari főtábla'!A:I,9,0)</f>
        <v>0</v>
      </c>
    </row>
    <row r="23" spans="1:12" ht="28.2" customHeight="1" x14ac:dyDescent="0.3">
      <c r="A23" s="364" t="s">
        <v>3231</v>
      </c>
      <c r="B23" s="568" t="s">
        <v>2676</v>
      </c>
      <c r="C23" s="571" t="s">
        <v>2679</v>
      </c>
      <c r="D23" s="578"/>
      <c r="E23" s="622">
        <v>-595342</v>
      </c>
      <c r="F23" s="578"/>
      <c r="G23" s="578"/>
      <c r="H23" s="578"/>
      <c r="I23" s="578"/>
      <c r="J23" s="578"/>
      <c r="K23" s="567">
        <v>-595342</v>
      </c>
      <c r="L23" s="606">
        <f>D23-VLOOKUP(B23,'1 kari főtábla'!A:I,9,0)</f>
        <v>0</v>
      </c>
    </row>
    <row r="24" spans="1:12" ht="28.2" customHeight="1" x14ac:dyDescent="0.3">
      <c r="A24" s="364" t="s">
        <v>3232</v>
      </c>
      <c r="B24" s="568" t="s">
        <v>2677</v>
      </c>
      <c r="C24" s="571" t="s">
        <v>2680</v>
      </c>
      <c r="D24" s="578"/>
      <c r="E24" s="578"/>
      <c r="F24" s="578"/>
      <c r="G24" s="578"/>
      <c r="H24" s="578"/>
      <c r="I24" s="577"/>
      <c r="J24" s="577"/>
      <c r="K24" s="567">
        <v>0</v>
      </c>
      <c r="L24" s="606">
        <f>D24-VLOOKUP(B24,'1 kari főtábla'!A:I,9,0)</f>
        <v>0</v>
      </c>
    </row>
    <row r="25" spans="1:12" ht="28.2" customHeight="1" x14ac:dyDescent="0.3">
      <c r="A25" s="364" t="s">
        <v>3233</v>
      </c>
      <c r="B25" s="724" t="s">
        <v>2678</v>
      </c>
      <c r="C25" s="571" t="s">
        <v>2681</v>
      </c>
      <c r="D25" s="569">
        <v>-1268176</v>
      </c>
      <c r="E25" s="569"/>
      <c r="F25" s="569">
        <v>-665451</v>
      </c>
      <c r="G25" s="569">
        <v>9007575</v>
      </c>
      <c r="H25" s="569">
        <v>-7073948</v>
      </c>
      <c r="I25" s="563"/>
      <c r="J25" s="563"/>
      <c r="K25" s="567">
        <v>0</v>
      </c>
      <c r="L25" s="606">
        <f>D25-VLOOKUP(B25,'1 kari főtábla'!A:I,9,0)</f>
        <v>0</v>
      </c>
    </row>
    <row r="26" spans="1:12" ht="28.2" customHeight="1" x14ac:dyDescent="0.3">
      <c r="A26" s="364"/>
      <c r="B26" s="725" t="s">
        <v>3757</v>
      </c>
      <c r="C26" s="571" t="s">
        <v>3758</v>
      </c>
      <c r="D26" s="569">
        <v>-10131830.074916951</v>
      </c>
      <c r="E26" s="569">
        <v>0</v>
      </c>
      <c r="F26" s="569">
        <v>-3826610.7916714759</v>
      </c>
      <c r="G26" s="569">
        <v>-4689339.2323967619</v>
      </c>
      <c r="H26" s="569">
        <v>-1450135.0123946324</v>
      </c>
      <c r="I26" s="569">
        <v>0</v>
      </c>
      <c r="J26" s="569">
        <v>-32448.708364845897</v>
      </c>
      <c r="K26" s="567">
        <v>-20130363.819744665</v>
      </c>
      <c r="L26" s="606">
        <f>D26-VLOOKUP(B26,'1 kari főtábla'!A:I,9,0)</f>
        <v>0</v>
      </c>
    </row>
    <row r="27" spans="1:12" ht="28.2" customHeight="1" x14ac:dyDescent="0.3">
      <c r="A27" s="364"/>
      <c r="B27" s="725" t="s">
        <v>3759</v>
      </c>
      <c r="C27" s="571" t="s">
        <v>3760</v>
      </c>
      <c r="D27" s="569"/>
      <c r="E27" s="569"/>
      <c r="F27" s="569"/>
      <c r="G27" s="569"/>
      <c r="H27" s="569"/>
      <c r="I27" s="563"/>
      <c r="J27" s="563"/>
      <c r="K27" s="567">
        <v>0</v>
      </c>
      <c r="L27" s="606">
        <f>D27-VLOOKUP(B27,'1 kari főtábla'!A:I,9,0)</f>
        <v>0</v>
      </c>
    </row>
    <row r="28" spans="1:12" ht="28.2" customHeight="1" x14ac:dyDescent="0.3">
      <c r="A28" s="364" t="s">
        <v>3234</v>
      </c>
      <c r="B28" s="723">
        <v>19</v>
      </c>
      <c r="C28" s="571" t="s">
        <v>31</v>
      </c>
      <c r="D28" s="569">
        <v>-95377</v>
      </c>
      <c r="E28" s="569"/>
      <c r="F28" s="569">
        <v>-1438391</v>
      </c>
      <c r="G28" s="569"/>
      <c r="H28" s="569"/>
      <c r="I28" s="584"/>
      <c r="J28" s="584"/>
      <c r="K28" s="567">
        <v>-1533768</v>
      </c>
      <c r="L28" s="606">
        <f>D28-VLOOKUP(B28,'1 kari főtábla'!A:I,9,0)</f>
        <v>0</v>
      </c>
    </row>
    <row r="29" spans="1:12" ht="28.2" customHeight="1" x14ac:dyDescent="0.3">
      <c r="A29" s="364"/>
      <c r="B29" s="574">
        <v>20</v>
      </c>
      <c r="C29" s="575" t="s">
        <v>32</v>
      </c>
      <c r="D29" s="576">
        <v>696501832.17637515</v>
      </c>
      <c r="E29" s="576">
        <v>431674924.44010043</v>
      </c>
      <c r="F29" s="576">
        <v>204258751.44168508</v>
      </c>
      <c r="G29" s="576">
        <v>309790792.47194564</v>
      </c>
      <c r="H29" s="576">
        <v>89061456.906046078</v>
      </c>
      <c r="I29" s="576">
        <v>32335258.120000005</v>
      </c>
      <c r="J29" s="576">
        <v>3678641.1999999997</v>
      </c>
      <c r="K29" s="567">
        <v>1767301656.7561529</v>
      </c>
      <c r="L29" s="606" t="e">
        <f>D29-VLOOKUP(B29,'1 kari főtábla'!A:I,9,0)</f>
        <v>#N/A</v>
      </c>
    </row>
    <row r="30" spans="1:12" ht="28.2" customHeight="1" x14ac:dyDescent="0.3">
      <c r="A30" s="364"/>
      <c r="B30" s="608">
        <v>21</v>
      </c>
      <c r="C30" s="607" t="s">
        <v>3761</v>
      </c>
      <c r="D30" s="569">
        <v>70278099</v>
      </c>
      <c r="E30" s="577">
        <v>89956106</v>
      </c>
      <c r="F30" s="577">
        <v>9267759</v>
      </c>
      <c r="G30" s="577">
        <v>13789946</v>
      </c>
      <c r="H30" s="577">
        <v>27608561</v>
      </c>
      <c r="I30" s="577">
        <v>14858997</v>
      </c>
      <c r="J30" s="577">
        <v>8472140</v>
      </c>
      <c r="K30" s="567">
        <v>234231608</v>
      </c>
      <c r="L30" s="606">
        <f>D30-VLOOKUP(B30,'1 kari főtábla'!A:I,9,0)</f>
        <v>0</v>
      </c>
    </row>
    <row r="31" spans="1:12" ht="28.2" customHeight="1" x14ac:dyDescent="0.3">
      <c r="A31" s="364"/>
      <c r="B31" s="608">
        <v>22</v>
      </c>
      <c r="C31" s="607" t="s">
        <v>3762</v>
      </c>
      <c r="D31" s="569">
        <v>-20922133</v>
      </c>
      <c r="E31" s="569">
        <v>-14835300</v>
      </c>
      <c r="F31" s="578">
        <v>-9501249</v>
      </c>
      <c r="G31" s="578">
        <v>-21381287</v>
      </c>
      <c r="H31" s="569">
        <v>-2034566</v>
      </c>
      <c r="I31" s="578">
        <v>-2154727</v>
      </c>
      <c r="J31" s="569">
        <v>-925959</v>
      </c>
      <c r="K31" s="567">
        <v>-71755221</v>
      </c>
      <c r="L31" s="606">
        <f>D31-VLOOKUP(B31,'1 kari főtábla'!A:I,9,0)</f>
        <v>0</v>
      </c>
    </row>
    <row r="32" spans="1:12" ht="28.2" customHeight="1" x14ac:dyDescent="0.3">
      <c r="A32" s="364"/>
      <c r="B32" s="608">
        <v>23</v>
      </c>
      <c r="C32" s="579" t="s">
        <v>3763</v>
      </c>
      <c r="D32" s="569">
        <v>5932764</v>
      </c>
      <c r="E32" s="577"/>
      <c r="F32" s="577">
        <v>-946553</v>
      </c>
      <c r="G32" s="577">
        <v>16740185</v>
      </c>
      <c r="H32" s="577">
        <v>2378447</v>
      </c>
      <c r="I32" s="577"/>
      <c r="J32" s="577">
        <v>142254</v>
      </c>
      <c r="K32" s="567">
        <v>24247097</v>
      </c>
      <c r="L32" s="606">
        <f>D32-VLOOKUP(B32,'1 kari főtábla'!A:I,9,0)</f>
        <v>0</v>
      </c>
    </row>
    <row r="33" spans="1:12" ht="28.2" customHeight="1" x14ac:dyDescent="0.3">
      <c r="A33" s="364" t="s">
        <v>3235</v>
      </c>
      <c r="B33" s="726">
        <v>24</v>
      </c>
      <c r="C33" s="607" t="s">
        <v>0</v>
      </c>
      <c r="D33" s="578">
        <v>870936</v>
      </c>
      <c r="E33" s="580"/>
      <c r="F33" s="581">
        <v>703837</v>
      </c>
      <c r="G33" s="581">
        <v>-2180014</v>
      </c>
      <c r="H33" s="581">
        <v>605241</v>
      </c>
      <c r="I33" s="577"/>
      <c r="J33" s="577"/>
      <c r="K33" s="567">
        <v>0</v>
      </c>
      <c r="L33" s="606">
        <f>D33-VLOOKUP(B33,'1 kari főtábla'!A:I,9,0)</f>
        <v>0</v>
      </c>
    </row>
    <row r="34" spans="1:12" ht="28.2" customHeight="1" x14ac:dyDescent="0.3">
      <c r="A34" s="364"/>
      <c r="B34" s="726"/>
      <c r="C34" s="607">
        <v>0</v>
      </c>
      <c r="D34" s="569"/>
      <c r="E34" s="582"/>
      <c r="F34" s="583"/>
      <c r="G34" s="583"/>
      <c r="H34" s="583"/>
      <c r="I34" s="584"/>
      <c r="J34" s="584"/>
      <c r="K34" s="567">
        <v>0</v>
      </c>
      <c r="L34" s="606" t="e">
        <f>D34-VLOOKUP(B34,'1 kari főtábla'!A:I,9,0)</f>
        <v>#N/A</v>
      </c>
    </row>
    <row r="35" spans="1:12" ht="28.2" customHeight="1" x14ac:dyDescent="0.3">
      <c r="A35" s="364" t="s">
        <v>3237</v>
      </c>
      <c r="B35" s="726">
        <v>26</v>
      </c>
      <c r="C35" s="607" t="s">
        <v>1</v>
      </c>
      <c r="D35" s="578"/>
      <c r="E35" s="582"/>
      <c r="F35" s="583"/>
      <c r="G35" s="583"/>
      <c r="H35" s="583"/>
      <c r="I35" s="584"/>
      <c r="J35" s="584"/>
      <c r="K35" s="567">
        <v>0</v>
      </c>
      <c r="L35" s="606">
        <f>D35-VLOOKUP(B35,'1 kari főtábla'!A:I,9,0)</f>
        <v>0</v>
      </c>
    </row>
    <row r="36" spans="1:12" ht="28.2" customHeight="1" x14ac:dyDescent="0.3">
      <c r="A36" s="364" t="s">
        <v>3238</v>
      </c>
      <c r="B36" s="726">
        <v>27</v>
      </c>
      <c r="C36" s="607" t="s">
        <v>3239</v>
      </c>
      <c r="D36" s="569"/>
      <c r="E36" s="585">
        <v>61528</v>
      </c>
      <c r="F36" s="583"/>
      <c r="G36" s="583"/>
      <c r="H36" s="583"/>
      <c r="I36" s="584"/>
      <c r="J36" s="584"/>
      <c r="K36" s="567">
        <v>61528</v>
      </c>
      <c r="L36" s="606">
        <f>D36-VLOOKUP(B36,'1 kari főtábla'!A:I,9,0)</f>
        <v>0</v>
      </c>
    </row>
    <row r="37" spans="1:12" ht="28.2" customHeight="1" x14ac:dyDescent="0.3">
      <c r="A37" s="364"/>
      <c r="B37" s="726"/>
      <c r="C37" s="607">
        <v>0</v>
      </c>
      <c r="D37" s="569"/>
      <c r="E37" s="582"/>
      <c r="F37" s="586"/>
      <c r="G37" s="583"/>
      <c r="H37" s="583"/>
      <c r="I37" s="584"/>
      <c r="J37" s="584"/>
      <c r="K37" s="567">
        <v>0</v>
      </c>
      <c r="L37" s="606" t="e">
        <f>D37-VLOOKUP(B37,'1 kari főtábla'!A:I,9,0)</f>
        <v>#N/A</v>
      </c>
    </row>
    <row r="38" spans="1:12" ht="28.2" customHeight="1" x14ac:dyDescent="0.3">
      <c r="A38" s="364" t="s">
        <v>3764</v>
      </c>
      <c r="B38" s="726" t="s">
        <v>3765</v>
      </c>
      <c r="C38" s="607" t="s">
        <v>3766</v>
      </c>
      <c r="D38" s="569"/>
      <c r="E38" s="582"/>
      <c r="F38" s="586"/>
      <c r="G38" s="586"/>
      <c r="H38" s="586"/>
      <c r="I38" s="584"/>
      <c r="J38" s="584"/>
      <c r="K38" s="567">
        <v>0</v>
      </c>
      <c r="L38" s="606">
        <f>D38-VLOOKUP(B38,'1 kari főtábla'!A:I,9,0)</f>
        <v>0</v>
      </c>
    </row>
    <row r="39" spans="1:12" ht="28.2" customHeight="1" x14ac:dyDescent="0.3">
      <c r="A39" s="364" t="s">
        <v>3240</v>
      </c>
      <c r="B39" s="726" t="s">
        <v>3241</v>
      </c>
      <c r="C39" s="607" t="s">
        <v>3767</v>
      </c>
      <c r="D39" s="569">
        <v>0</v>
      </c>
      <c r="E39" s="569">
        <v>0</v>
      </c>
      <c r="F39" s="569">
        <v>0</v>
      </c>
      <c r="G39" s="569">
        <v>0</v>
      </c>
      <c r="H39" s="569">
        <v>0</v>
      </c>
      <c r="I39" s="569">
        <v>0</v>
      </c>
      <c r="J39" s="569">
        <v>0</v>
      </c>
      <c r="K39" s="567">
        <v>0</v>
      </c>
      <c r="L39" s="606">
        <f>D39-VLOOKUP(B39,'1 kari főtábla'!A:I,9,0)</f>
        <v>0</v>
      </c>
    </row>
    <row r="40" spans="1:12" ht="28.2" customHeight="1" x14ac:dyDescent="0.3">
      <c r="A40" s="364"/>
      <c r="B40" s="726" t="s">
        <v>3242</v>
      </c>
      <c r="C40" s="607" t="s">
        <v>3243</v>
      </c>
      <c r="D40" s="569">
        <v>0</v>
      </c>
      <c r="E40" s="569">
        <v>0</v>
      </c>
      <c r="F40" s="569">
        <v>0</v>
      </c>
      <c r="G40" s="569">
        <v>0</v>
      </c>
      <c r="H40" s="569">
        <v>0</v>
      </c>
      <c r="I40" s="569">
        <v>0</v>
      </c>
      <c r="J40" s="569">
        <v>0</v>
      </c>
      <c r="K40" s="567">
        <v>0</v>
      </c>
      <c r="L40" s="606">
        <f>D40-VLOOKUP(B40,'1 kari főtábla'!A:I,9,0)</f>
        <v>0</v>
      </c>
    </row>
    <row r="41" spans="1:12" ht="28.2" customHeight="1" x14ac:dyDescent="0.3">
      <c r="A41" s="364"/>
      <c r="B41" s="726" t="s">
        <v>3244</v>
      </c>
      <c r="C41" s="607" t="s">
        <v>3245</v>
      </c>
      <c r="D41" s="569">
        <v>0</v>
      </c>
      <c r="E41" s="569">
        <v>0</v>
      </c>
      <c r="F41" s="569">
        <v>0</v>
      </c>
      <c r="G41" s="569">
        <v>0</v>
      </c>
      <c r="H41" s="569">
        <v>0</v>
      </c>
      <c r="I41" s="569">
        <v>0</v>
      </c>
      <c r="J41" s="569">
        <v>0</v>
      </c>
      <c r="K41" s="567">
        <v>0</v>
      </c>
      <c r="L41" s="606">
        <f>D41-VLOOKUP(B41,'1 kari főtábla'!A:I,9,0)</f>
        <v>0</v>
      </c>
    </row>
    <row r="42" spans="1:12" ht="28.2" customHeight="1" x14ac:dyDescent="0.3">
      <c r="A42" s="364"/>
      <c r="B42" s="726" t="s">
        <v>3246</v>
      </c>
      <c r="C42" s="607" t="s">
        <v>3285</v>
      </c>
      <c r="D42" s="569">
        <v>0</v>
      </c>
      <c r="E42" s="569">
        <v>0</v>
      </c>
      <c r="F42" s="569">
        <v>0</v>
      </c>
      <c r="G42" s="569">
        <v>0</v>
      </c>
      <c r="H42" s="569">
        <v>0</v>
      </c>
      <c r="I42" s="569">
        <v>0</v>
      </c>
      <c r="J42" s="569">
        <v>0</v>
      </c>
      <c r="K42" s="567">
        <v>0</v>
      </c>
      <c r="L42" s="606">
        <f>D42-VLOOKUP(B42,'1 kari főtábla'!A:I,9,0)</f>
        <v>0</v>
      </c>
    </row>
    <row r="43" spans="1:12" ht="28.2" customHeight="1" x14ac:dyDescent="0.3">
      <c r="A43" s="364"/>
      <c r="B43" s="726">
        <v>30</v>
      </c>
      <c r="C43" s="607" t="s">
        <v>3247</v>
      </c>
      <c r="D43" s="569"/>
      <c r="E43" s="582"/>
      <c r="F43" s="583"/>
      <c r="G43" s="583"/>
      <c r="H43" s="583"/>
      <c r="I43" s="584"/>
      <c r="J43" s="584"/>
      <c r="K43" s="567">
        <v>0</v>
      </c>
      <c r="L43" s="606" t="e">
        <f>D43-VLOOKUP(B43,'1 kari főtábla'!A:I,9,0)</f>
        <v>#N/A</v>
      </c>
    </row>
    <row r="44" spans="1:12" ht="28.2" customHeight="1" x14ac:dyDescent="0.3">
      <c r="A44" s="364" t="s">
        <v>3248</v>
      </c>
      <c r="B44" s="726">
        <v>31</v>
      </c>
      <c r="C44" s="607" t="s">
        <v>3768</v>
      </c>
      <c r="D44" s="609"/>
      <c r="E44" s="609">
        <v>-272071</v>
      </c>
      <c r="F44" s="609">
        <v>-30576</v>
      </c>
      <c r="G44" s="609">
        <v>-71120</v>
      </c>
      <c r="H44" s="609">
        <v>-151476</v>
      </c>
      <c r="I44" s="609"/>
      <c r="J44" s="609">
        <v>0</v>
      </c>
      <c r="K44" s="567">
        <v>-525243</v>
      </c>
      <c r="L44" s="606">
        <f>D44-VLOOKUP(B44,'1 kari főtábla'!A:I,9,0)</f>
        <v>0</v>
      </c>
    </row>
    <row r="45" spans="1:12" ht="28.2" customHeight="1" x14ac:dyDescent="0.3">
      <c r="A45" s="364"/>
      <c r="B45" s="726">
        <v>32</v>
      </c>
      <c r="C45" s="607" t="s">
        <v>3769</v>
      </c>
      <c r="D45" s="569"/>
      <c r="E45" s="569"/>
      <c r="F45" s="569">
        <v>5031</v>
      </c>
      <c r="G45" s="569"/>
      <c r="H45" s="569"/>
      <c r="I45" s="569"/>
      <c r="J45" s="569">
        <v>0</v>
      </c>
      <c r="K45" s="567">
        <v>5031</v>
      </c>
      <c r="L45" s="606">
        <f>D45-VLOOKUP(B45,'1 kari főtábla'!A:I,9,0)</f>
        <v>0</v>
      </c>
    </row>
    <row r="46" spans="1:12" ht="28.2" customHeight="1" x14ac:dyDescent="0.3">
      <c r="A46" s="364"/>
      <c r="B46" s="610">
        <v>33</v>
      </c>
      <c r="C46" s="611" t="s">
        <v>33</v>
      </c>
      <c r="D46" s="576">
        <v>752661498.17637515</v>
      </c>
      <c r="E46" s="576">
        <v>506585187.44010043</v>
      </c>
      <c r="F46" s="576">
        <v>203757000.44168508</v>
      </c>
      <c r="G46" s="576">
        <v>316688502.47194564</v>
      </c>
      <c r="H46" s="576">
        <v>117467663.90604608</v>
      </c>
      <c r="I46" s="576">
        <v>45039528.120000005</v>
      </c>
      <c r="J46" s="576">
        <v>11367076.199999999</v>
      </c>
      <c r="K46" s="567">
        <v>1953566456.7561529</v>
      </c>
      <c r="L46" s="606" t="e">
        <f>D46-VLOOKUP(B46,'1 kari főtábla'!A:I,9,0)</f>
        <v>#N/A</v>
      </c>
    </row>
    <row r="47" spans="1:12" ht="28.2" customHeight="1" x14ac:dyDescent="0.3">
      <c r="A47" s="364" t="s">
        <v>3249</v>
      </c>
      <c r="B47" s="574">
        <v>34</v>
      </c>
      <c r="C47" s="587" t="s">
        <v>3770</v>
      </c>
      <c r="D47" s="578">
        <v>1967164.0522306</v>
      </c>
      <c r="E47" s="578">
        <v>0</v>
      </c>
      <c r="F47" s="578">
        <v>-6489020.3135893643</v>
      </c>
      <c r="G47" s="578">
        <v>-12164892.44344604</v>
      </c>
      <c r="H47" s="578">
        <v>-2340592.4702167809</v>
      </c>
      <c r="I47" s="588">
        <v>17322177.852032933</v>
      </c>
      <c r="J47" s="588">
        <v>-2217131.3055431359</v>
      </c>
      <c r="K47" s="567">
        <v>-3922294.6285317913</v>
      </c>
      <c r="L47" s="606">
        <f>D47-VLOOKUP(B47,'1 kari főtábla'!A:I,9,0)</f>
        <v>0</v>
      </c>
    </row>
    <row r="48" spans="1:12" ht="28.2" customHeight="1" x14ac:dyDescent="0.3">
      <c r="A48" s="364" t="s">
        <v>3236</v>
      </c>
      <c r="B48" s="574" t="s">
        <v>3771</v>
      </c>
      <c r="C48" s="587" t="s">
        <v>3772</v>
      </c>
      <c r="D48" s="578"/>
      <c r="E48" s="589"/>
      <c r="F48" s="586">
        <v>1328750</v>
      </c>
      <c r="G48" s="590"/>
      <c r="H48" s="589"/>
      <c r="I48" s="591"/>
      <c r="J48" s="591"/>
      <c r="K48" s="567">
        <v>1328750</v>
      </c>
      <c r="L48" s="606">
        <f>D48-VLOOKUP(B48,'1 kari főtábla'!A:I,9,0)</f>
        <v>0</v>
      </c>
    </row>
    <row r="49" spans="1:12" ht="28.2" customHeight="1" x14ac:dyDescent="0.3">
      <c r="A49" s="364" t="s">
        <v>3249</v>
      </c>
      <c r="B49" s="574" t="s">
        <v>3773</v>
      </c>
      <c r="C49" s="587" t="s">
        <v>3774</v>
      </c>
      <c r="D49" s="578">
        <v>-1687538.279215849</v>
      </c>
      <c r="E49" s="590">
        <v>0</v>
      </c>
      <c r="F49" s="578">
        <v>13338838.279204294</v>
      </c>
      <c r="G49" s="589"/>
      <c r="H49" s="589"/>
      <c r="I49" s="591"/>
      <c r="J49" s="591"/>
      <c r="K49" s="567">
        <v>11651299.999988444</v>
      </c>
      <c r="L49" s="606">
        <f>D49-VLOOKUP(B49,'1 kari főtábla'!A:I,9,0)</f>
        <v>0</v>
      </c>
    </row>
    <row r="50" spans="1:12" ht="28.2" customHeight="1" x14ac:dyDescent="0.3">
      <c r="A50" s="364" t="s">
        <v>3236</v>
      </c>
      <c r="B50" s="574" t="s">
        <v>3775</v>
      </c>
      <c r="C50" s="587" t="s">
        <v>3776</v>
      </c>
      <c r="D50" s="578"/>
      <c r="E50" s="590"/>
      <c r="F50" s="586">
        <v>1580000</v>
      </c>
      <c r="G50" s="589"/>
      <c r="H50" s="589"/>
      <c r="I50" s="591"/>
      <c r="J50" s="591"/>
      <c r="K50" s="567">
        <v>1580000</v>
      </c>
      <c r="L50" s="606">
        <f>D50-VLOOKUP(B50,'1 kari főtábla'!A:I,9,0)</f>
        <v>0</v>
      </c>
    </row>
    <row r="51" spans="1:12" ht="28.2" customHeight="1" x14ac:dyDescent="0.3">
      <c r="A51" s="364" t="s">
        <v>3777</v>
      </c>
      <c r="B51" s="568" t="s">
        <v>3250</v>
      </c>
      <c r="C51" s="587" t="s">
        <v>3778</v>
      </c>
      <c r="D51" s="569">
        <v>26063906</v>
      </c>
      <c r="E51" s="569"/>
      <c r="F51" s="569">
        <v>8992493</v>
      </c>
      <c r="G51" s="569">
        <v>21320890</v>
      </c>
      <c r="H51" s="569">
        <v>4684701</v>
      </c>
      <c r="I51" s="569">
        <v>1935554</v>
      </c>
      <c r="J51" s="569">
        <v>302872</v>
      </c>
      <c r="K51" s="567">
        <v>63300416</v>
      </c>
      <c r="L51" s="606">
        <f>D51-VLOOKUP(B51,'1 kari főtábla'!A:I,9,0)</f>
        <v>0</v>
      </c>
    </row>
    <row r="52" spans="1:12" ht="28.2" customHeight="1" x14ac:dyDescent="0.3">
      <c r="A52" s="364"/>
      <c r="B52" s="568" t="s">
        <v>3251</v>
      </c>
      <c r="C52" s="587" t="s">
        <v>3779</v>
      </c>
      <c r="D52" s="569"/>
      <c r="E52" s="569"/>
      <c r="F52" s="569"/>
      <c r="G52" s="569"/>
      <c r="H52" s="569"/>
      <c r="I52" s="584"/>
      <c r="J52" s="584"/>
      <c r="K52" s="567">
        <v>0</v>
      </c>
      <c r="L52" s="606">
        <f>D52-VLOOKUP(B52,'1 kari főtábla'!A:I,9,0)</f>
        <v>0</v>
      </c>
    </row>
    <row r="53" spans="1:12" ht="28.2" customHeight="1" x14ac:dyDescent="0.3">
      <c r="A53" s="364"/>
      <c r="B53" s="568">
        <v>38</v>
      </c>
      <c r="C53" s="587" t="s">
        <v>3587</v>
      </c>
      <c r="D53" s="569"/>
      <c r="E53" s="569"/>
      <c r="F53" s="569"/>
      <c r="G53" s="569"/>
      <c r="H53" s="569"/>
      <c r="I53" s="584"/>
      <c r="J53" s="584"/>
      <c r="K53" s="567">
        <v>0</v>
      </c>
      <c r="L53" s="606">
        <f>D53-VLOOKUP(B53,'1 kari főtábla'!A:I,9,0)</f>
        <v>0</v>
      </c>
    </row>
    <row r="54" spans="1:12" ht="28.2" customHeight="1" x14ac:dyDescent="0.3">
      <c r="A54" s="364" t="s">
        <v>3224</v>
      </c>
      <c r="B54" s="727">
        <v>39</v>
      </c>
      <c r="C54" s="587" t="s">
        <v>3780</v>
      </c>
      <c r="D54" s="569">
        <v>3179247</v>
      </c>
      <c r="E54" s="569">
        <v>0</v>
      </c>
      <c r="F54" s="569">
        <v>41506953</v>
      </c>
      <c r="G54" s="569">
        <v>0</v>
      </c>
      <c r="H54" s="569">
        <v>0</v>
      </c>
      <c r="I54" s="569">
        <v>0</v>
      </c>
      <c r="J54" s="569">
        <v>0</v>
      </c>
      <c r="K54" s="567">
        <v>44686200</v>
      </c>
      <c r="L54" s="606">
        <f>D54-VLOOKUP(B54,'1 kari főtábla'!A:I,9,0)</f>
        <v>0</v>
      </c>
    </row>
    <row r="55" spans="1:12" ht="28.2" customHeight="1" x14ac:dyDescent="0.3">
      <c r="A55" s="364" t="s">
        <v>3236</v>
      </c>
      <c r="B55" s="727">
        <v>40</v>
      </c>
      <c r="C55" s="587" t="s">
        <v>3781</v>
      </c>
      <c r="D55" s="569"/>
      <c r="E55" s="569"/>
      <c r="F55" s="569">
        <v>5482500</v>
      </c>
      <c r="G55" s="569"/>
      <c r="H55" s="569"/>
      <c r="I55" s="584"/>
      <c r="J55" s="584"/>
      <c r="K55" s="567">
        <v>5482500</v>
      </c>
      <c r="L55" s="606">
        <f>D55-VLOOKUP(B55,'1 kari főtábla'!A:I,9,0)</f>
        <v>0</v>
      </c>
    </row>
    <row r="56" spans="1:12" ht="28.2" customHeight="1" x14ac:dyDescent="0.3">
      <c r="A56" s="364"/>
      <c r="B56" s="727" t="s">
        <v>2736</v>
      </c>
      <c r="C56" s="587" t="s">
        <v>3782</v>
      </c>
      <c r="D56" s="569">
        <v>-6086011.8251849664</v>
      </c>
      <c r="E56" s="569">
        <v>29056179.005776227</v>
      </c>
      <c r="F56" s="569">
        <v>-14084759.184444837</v>
      </c>
      <c r="G56" s="569">
        <v>-4157573.5500000003</v>
      </c>
      <c r="H56" s="569">
        <v>-913516.69500000007</v>
      </c>
      <c r="I56" s="569">
        <v>-3755257.7111464222</v>
      </c>
      <c r="J56" s="569">
        <v>-59060.04</v>
      </c>
      <c r="K56" s="567">
        <v>-1.3606040738523006E-9</v>
      </c>
      <c r="L56" s="606">
        <f>D56-VLOOKUP(B56,'1 kari főtábla'!A:I,9,0)</f>
        <v>0</v>
      </c>
    </row>
    <row r="57" spans="1:12" ht="28.2" customHeight="1" x14ac:dyDescent="0.3">
      <c r="A57" s="364"/>
      <c r="B57" s="727" t="s">
        <v>2737</v>
      </c>
      <c r="C57" s="587" t="s">
        <v>3783</v>
      </c>
      <c r="D57" s="569">
        <v>329069.96444709058</v>
      </c>
      <c r="E57" s="569">
        <v>-4855339.0883421786</v>
      </c>
      <c r="F57" s="569">
        <v>1265358.9611499261</v>
      </c>
      <c r="G57" s="569">
        <v>2372154.0264719781</v>
      </c>
      <c r="H57" s="569">
        <v>456415.53169227228</v>
      </c>
      <c r="I57" s="569"/>
      <c r="J57" s="569">
        <v>432340.60458091152</v>
      </c>
      <c r="K57" s="567">
        <v>0</v>
      </c>
      <c r="L57" s="606">
        <f>D57-VLOOKUP(B57,'1 kari főtábla'!A:I,9,0)</f>
        <v>0</v>
      </c>
    </row>
    <row r="58" spans="1:12" ht="28.2" customHeight="1" x14ac:dyDescent="0.3">
      <c r="A58" s="364"/>
      <c r="B58" s="726">
        <v>41</v>
      </c>
      <c r="C58" s="587" t="s">
        <v>3784</v>
      </c>
      <c r="D58" s="569">
        <v>-5756941.860737876</v>
      </c>
      <c r="E58" s="569">
        <v>24200839.917434048</v>
      </c>
      <c r="F58" s="569">
        <v>-12819400.223294912</v>
      </c>
      <c r="G58" s="569">
        <v>-1785419.5235280222</v>
      </c>
      <c r="H58" s="569">
        <v>-457101.16330772772</v>
      </c>
      <c r="I58" s="569">
        <v>-3755257.7111464222</v>
      </c>
      <c r="J58" s="569">
        <v>373280.56458091148</v>
      </c>
      <c r="K58" s="567">
        <v>0</v>
      </c>
      <c r="L58" s="606">
        <f>D58-VLOOKUP(B58,'1 kari főtábla'!A:I,9,0)</f>
        <v>0</v>
      </c>
    </row>
    <row r="59" spans="1:12" ht="14.4" customHeight="1" x14ac:dyDescent="0.3">
      <c r="A59" s="364"/>
      <c r="B59" s="726" t="s">
        <v>2738</v>
      </c>
      <c r="C59" s="587" t="s">
        <v>3286</v>
      </c>
      <c r="D59" s="569">
        <v>-156051.585261153</v>
      </c>
      <c r="E59" s="569">
        <v>0</v>
      </c>
      <c r="F59" s="569">
        <v>-361147.67139602144</v>
      </c>
      <c r="G59" s="569">
        <v>-106604.45000000001</v>
      </c>
      <c r="H59" s="569">
        <v>-23423.505000000001</v>
      </c>
      <c r="I59" s="569"/>
      <c r="J59" s="569">
        <v>-1514.3600000000001</v>
      </c>
      <c r="K59" s="567">
        <v>-648741.5716571745</v>
      </c>
      <c r="L59" s="606">
        <f>D59-VLOOKUP(B59,'1 kari főtábla'!A:I,9,0)</f>
        <v>0</v>
      </c>
    </row>
    <row r="60" spans="1:12" ht="15.6" customHeight="1" x14ac:dyDescent="0.3">
      <c r="A60" s="364"/>
      <c r="B60" s="726" t="s">
        <v>2739</v>
      </c>
      <c r="C60" s="587" t="s">
        <v>3287</v>
      </c>
      <c r="D60" s="569">
        <v>8437.6913960792463</v>
      </c>
      <c r="E60" s="569">
        <v>0</v>
      </c>
      <c r="F60" s="569">
        <v>32445.101567946822</v>
      </c>
      <c r="G60" s="569">
        <v>60824.462217230204</v>
      </c>
      <c r="H60" s="569">
        <v>11702.962351083905</v>
      </c>
      <c r="I60" s="569">
        <v>0</v>
      </c>
      <c r="J60" s="569">
        <v>11085.656527715681</v>
      </c>
      <c r="K60" s="567">
        <v>124495.87406005585</v>
      </c>
      <c r="L60" s="606">
        <f>D60-VLOOKUP(B60,'1 kari főtábla'!A:I,9,0)</f>
        <v>0</v>
      </c>
    </row>
    <row r="61" spans="1:12" ht="14.4" customHeight="1" x14ac:dyDescent="0.3">
      <c r="A61" s="364"/>
      <c r="B61" s="726">
        <v>42</v>
      </c>
      <c r="C61" s="572" t="s">
        <v>3288</v>
      </c>
      <c r="D61" s="569">
        <v>-147613.89386507374</v>
      </c>
      <c r="E61" s="569">
        <v>0</v>
      </c>
      <c r="F61" s="569">
        <v>-328702.56982807466</v>
      </c>
      <c r="G61" s="569">
        <v>-45779.9877827698</v>
      </c>
      <c r="H61" s="569">
        <v>-11720.542648916096</v>
      </c>
      <c r="I61" s="569"/>
      <c r="J61" s="569">
        <v>9571.29652771568</v>
      </c>
      <c r="K61" s="567">
        <v>-524245.69759711862</v>
      </c>
      <c r="L61" s="606">
        <f>D61-VLOOKUP(B61,'1 kari főtábla'!A:I,9,0)</f>
        <v>0</v>
      </c>
    </row>
    <row r="62" spans="1:12" ht="43.2" x14ac:dyDescent="0.3">
      <c r="A62" s="364"/>
      <c r="B62" s="726" t="s">
        <v>2740</v>
      </c>
      <c r="C62" s="572" t="s">
        <v>2744</v>
      </c>
      <c r="D62" s="569">
        <v>-468154.755783459</v>
      </c>
      <c r="E62" s="569">
        <v>0</v>
      </c>
      <c r="F62" s="569">
        <v>-1083443.0141880643</v>
      </c>
      <c r="G62" s="569">
        <v>-319813.35000000003</v>
      </c>
      <c r="H62" s="569">
        <v>-70270.514999999999</v>
      </c>
      <c r="I62" s="569">
        <v>0</v>
      </c>
      <c r="J62" s="569">
        <v>-4543.08</v>
      </c>
      <c r="K62" s="567">
        <v>-1946224.7149715233</v>
      </c>
      <c r="L62" s="606">
        <f>D62-VLOOKUP(B62,'1 kari főtábla'!A:I,9,0)</f>
        <v>0</v>
      </c>
    </row>
    <row r="63" spans="1:12" ht="43.2" x14ac:dyDescent="0.3">
      <c r="A63" s="364"/>
      <c r="B63" s="726" t="s">
        <v>2741</v>
      </c>
      <c r="C63" s="572" t="s">
        <v>2745</v>
      </c>
      <c r="D63" s="569">
        <v>25313.074188237741</v>
      </c>
      <c r="E63" s="569">
        <v>0</v>
      </c>
      <c r="F63" s="569">
        <v>97335.304703840462</v>
      </c>
      <c r="G63" s="569">
        <v>182473.38665169061</v>
      </c>
      <c r="H63" s="569">
        <v>35108.887053251718</v>
      </c>
      <c r="I63" s="569">
        <v>0</v>
      </c>
      <c r="J63" s="569">
        <v>33256.969583147045</v>
      </c>
      <c r="K63" s="567">
        <v>373487.62218016759</v>
      </c>
      <c r="L63" s="606">
        <f>D63-VLOOKUP(B63,'1 kari főtábla'!A:I,9,0)</f>
        <v>0</v>
      </c>
    </row>
    <row r="64" spans="1:12" ht="28.8" x14ac:dyDescent="0.3">
      <c r="A64" s="364"/>
      <c r="B64" s="726">
        <v>43</v>
      </c>
      <c r="C64" s="587" t="s">
        <v>34</v>
      </c>
      <c r="D64" s="569">
        <v>-442841.68159522116</v>
      </c>
      <c r="E64" s="569">
        <v>0</v>
      </c>
      <c r="F64" s="569">
        <v>-986107.70948422386</v>
      </c>
      <c r="G64" s="569">
        <v>-137339.96334830939</v>
      </c>
      <c r="H64" s="569">
        <v>-35161.627946748282</v>
      </c>
      <c r="I64" s="569"/>
      <c r="J64" s="569">
        <v>28713.889583147036</v>
      </c>
      <c r="K64" s="567">
        <v>-1572737.0927913557</v>
      </c>
      <c r="L64" s="606">
        <f>D64-VLOOKUP(B64,'1 kari főtábla'!A:I,9,0)</f>
        <v>0</v>
      </c>
    </row>
    <row r="65" spans="1:12" ht="28.8" x14ac:dyDescent="0.3">
      <c r="A65" s="364"/>
      <c r="B65" s="726" t="s">
        <v>2742</v>
      </c>
      <c r="C65" s="592" t="s">
        <v>2746</v>
      </c>
      <c r="D65" s="569">
        <v>468154.755783459</v>
      </c>
      <c r="E65" s="569">
        <v>0</v>
      </c>
      <c r="F65" s="569">
        <v>1083443.0141880643</v>
      </c>
      <c r="G65" s="569">
        <v>319813.35000000003</v>
      </c>
      <c r="H65" s="569">
        <v>70270.514999999999</v>
      </c>
      <c r="I65" s="569">
        <v>0</v>
      </c>
      <c r="J65" s="569">
        <v>4543.08</v>
      </c>
      <c r="K65" s="567">
        <v>1946224.7149715233</v>
      </c>
      <c r="L65" s="606">
        <f>D65-VLOOKUP(B65,'1 kari főtábla'!A:I,9,0)</f>
        <v>0</v>
      </c>
    </row>
    <row r="66" spans="1:12" ht="28.8" x14ac:dyDescent="0.3">
      <c r="A66" s="364"/>
      <c r="B66" s="726" t="s">
        <v>2743</v>
      </c>
      <c r="C66" s="592" t="s">
        <v>2747</v>
      </c>
      <c r="D66" s="569">
        <v>-25313.074188237741</v>
      </c>
      <c r="E66" s="569">
        <v>0</v>
      </c>
      <c r="F66" s="569">
        <v>-97335.304703840462</v>
      </c>
      <c r="G66" s="569">
        <v>-182473.38665169061</v>
      </c>
      <c r="H66" s="569">
        <v>-35108.887053251718</v>
      </c>
      <c r="I66" s="569">
        <v>0</v>
      </c>
      <c r="J66" s="569">
        <v>-33256.969583147045</v>
      </c>
      <c r="K66" s="567">
        <v>-373487.62218016759</v>
      </c>
      <c r="L66" s="606">
        <f>D66-VLOOKUP(B66,'1 kari főtábla'!A:I,9,0)</f>
        <v>0</v>
      </c>
    </row>
    <row r="67" spans="1:12" ht="28.8" x14ac:dyDescent="0.3">
      <c r="A67" s="364"/>
      <c r="B67" s="726">
        <v>44</v>
      </c>
      <c r="C67" s="592" t="s">
        <v>27</v>
      </c>
      <c r="D67" s="569">
        <v>442841.68159522116</v>
      </c>
      <c r="E67" s="569">
        <v>0</v>
      </c>
      <c r="F67" s="569">
        <v>986107.70948422386</v>
      </c>
      <c r="G67" s="569">
        <v>137339.96334830939</v>
      </c>
      <c r="H67" s="569">
        <v>35161.627946748282</v>
      </c>
      <c r="I67" s="569">
        <v>0</v>
      </c>
      <c r="J67" s="569">
        <v>-28713.889583147036</v>
      </c>
      <c r="K67" s="567">
        <v>1572737.0927913557</v>
      </c>
      <c r="L67" s="606">
        <f>D67-VLOOKUP(B67,'1 kari főtábla'!A:I,9,0)</f>
        <v>0</v>
      </c>
    </row>
    <row r="68" spans="1:12" x14ac:dyDescent="0.3">
      <c r="A68" s="364"/>
      <c r="B68" s="593">
        <v>45</v>
      </c>
      <c r="C68" s="594"/>
      <c r="D68" s="612">
        <v>776279721.19478703</v>
      </c>
      <c r="E68" s="612">
        <v>530786027.35753447</v>
      </c>
      <c r="F68" s="612">
        <v>256349411.61417702</v>
      </c>
      <c r="G68" s="612">
        <v>324013300.51718879</v>
      </c>
      <c r="H68" s="612">
        <v>119342950.72987266</v>
      </c>
      <c r="I68" s="612">
        <v>60542002.260886513</v>
      </c>
      <c r="J68" s="612">
        <v>9835668.7555654906</v>
      </c>
      <c r="K68" s="567">
        <v>2077149082.4300117</v>
      </c>
      <c r="L68" s="606" t="e">
        <f>D68-VLOOKUP(B68,'1 kari főtábla'!A:I,9,0)</f>
        <v>#N/A</v>
      </c>
    </row>
    <row r="69" spans="1:12" ht="15.75" customHeight="1" x14ac:dyDescent="0.3">
      <c r="A69" s="364"/>
      <c r="B69" s="613">
        <v>46</v>
      </c>
      <c r="C69" s="614"/>
      <c r="D69" s="569">
        <v>846062166.29735458</v>
      </c>
      <c r="E69" s="569">
        <v>611192919</v>
      </c>
      <c r="F69" s="569">
        <v>318315450.12670207</v>
      </c>
      <c r="G69" s="569">
        <v>467597739.73371226</v>
      </c>
      <c r="H69" s="569">
        <v>102805356.59619491</v>
      </c>
      <c r="I69" s="569">
        <v>60542002</v>
      </c>
      <c r="J69" s="569">
        <v>5005007.233698694</v>
      </c>
      <c r="K69" s="567">
        <v>2411520640.9876628</v>
      </c>
      <c r="L69" s="606" t="e">
        <f>D69-VLOOKUP(B69,'1 kari főtábla'!A:I,9,0)</f>
        <v>#N/A</v>
      </c>
    </row>
    <row r="70" spans="1:12" ht="15.75" customHeight="1" x14ac:dyDescent="0.3">
      <c r="A70" s="364"/>
      <c r="B70" s="615">
        <v>47</v>
      </c>
      <c r="C70" s="594"/>
      <c r="D70" s="597">
        <v>-69782445.102567554</v>
      </c>
      <c r="E70" s="597">
        <v>-80406891.642465532</v>
      </c>
      <c r="F70" s="597">
        <v>-61966038.512525052</v>
      </c>
      <c r="G70" s="597">
        <v>-143584439.21652347</v>
      </c>
      <c r="H70" s="597">
        <v>16537594.133677751</v>
      </c>
      <c r="I70" s="597">
        <v>0.26088651269674301</v>
      </c>
      <c r="J70" s="597">
        <v>4830661.5218667965</v>
      </c>
      <c r="K70" s="567">
        <v>-334371558.55765063</v>
      </c>
      <c r="L70" s="606" t="e">
        <f>D70-VLOOKUP(B70,'1 kari főtábla'!A:I,9,0)</f>
        <v>#N/A</v>
      </c>
    </row>
    <row r="71" spans="1:12" ht="31.5" customHeight="1" x14ac:dyDescent="0.3">
      <c r="A71" s="364" t="s">
        <v>3785</v>
      </c>
      <c r="B71" s="595">
        <v>48</v>
      </c>
      <c r="C71" s="596" t="s">
        <v>3905</v>
      </c>
      <c r="D71" s="569">
        <v>69502</v>
      </c>
      <c r="E71" s="578">
        <v>80406892</v>
      </c>
      <c r="F71" s="569"/>
      <c r="G71" s="569"/>
      <c r="H71" s="569"/>
      <c r="I71" s="569"/>
      <c r="J71" s="569"/>
      <c r="K71" s="567">
        <v>80476394</v>
      </c>
      <c r="L71" s="606">
        <f>D71-VLOOKUP(B71,'1 kari főtábla'!A:I,9,0)</f>
        <v>-0.26499999999941792</v>
      </c>
    </row>
    <row r="72" spans="1:12" ht="15.75" customHeight="1" x14ac:dyDescent="0.3">
      <c r="A72" s="364" t="s">
        <v>38</v>
      </c>
      <c r="B72" s="615">
        <v>49</v>
      </c>
      <c r="C72" s="594"/>
      <c r="D72" s="597">
        <v>-69782445.102567554</v>
      </c>
      <c r="E72" s="597">
        <v>0.35753446817398071</v>
      </c>
      <c r="F72" s="597">
        <v>-61966038.512525052</v>
      </c>
      <c r="G72" s="597">
        <v>-143584439.21652347</v>
      </c>
      <c r="H72" s="597">
        <v>16537594.133677751</v>
      </c>
      <c r="I72" s="597">
        <v>0.26088651269674301</v>
      </c>
      <c r="J72" s="597">
        <v>4830661.5218667965</v>
      </c>
      <c r="K72" s="567">
        <v>-253964666.55765057</v>
      </c>
      <c r="L72" s="606" t="e">
        <f>D72-VLOOKUP(B72,'1 kari főtábla'!A:I,9,0)</f>
        <v>#N/A</v>
      </c>
    </row>
    <row r="73" spans="1:12" x14ac:dyDescent="0.3">
      <c r="A73" s="616"/>
      <c r="B73" s="617"/>
      <c r="C73" s="616"/>
      <c r="D73" s="616"/>
      <c r="E73" s="616"/>
      <c r="F73" s="616"/>
      <c r="G73" s="616"/>
      <c r="H73" s="616"/>
      <c r="I73" s="616"/>
      <c r="J73" s="616"/>
      <c r="K73" s="616"/>
    </row>
    <row r="74" spans="1:12" x14ac:dyDescent="0.3">
      <c r="A74" s="616"/>
      <c r="B74" s="617"/>
      <c r="C74" s="616"/>
      <c r="D74" s="616"/>
      <c r="E74" s="616"/>
      <c r="F74" s="616"/>
      <c r="G74" s="616"/>
      <c r="H74" s="616"/>
      <c r="I74" s="616"/>
      <c r="J74" s="616"/>
      <c r="K74" s="616"/>
    </row>
    <row r="75" spans="1:12" x14ac:dyDescent="0.3">
      <c r="A75" s="616"/>
      <c r="B75" s="617"/>
      <c r="C75" s="616"/>
      <c r="D75" s="616"/>
      <c r="E75" s="616"/>
      <c r="F75" s="616"/>
      <c r="G75" s="616"/>
      <c r="H75" s="616"/>
      <c r="I75" s="616"/>
      <c r="J75" s="616"/>
      <c r="K75" s="616"/>
    </row>
    <row r="76" spans="1:12" x14ac:dyDescent="0.3">
      <c r="A76" s="616"/>
      <c r="B76" s="617"/>
      <c r="C76" s="616"/>
      <c r="D76" s="616"/>
      <c r="E76" s="616"/>
      <c r="F76" s="616"/>
      <c r="G76" s="616"/>
      <c r="H76" s="616"/>
      <c r="I76" s="616"/>
      <c r="J76" s="616"/>
      <c r="K76" s="616"/>
    </row>
    <row r="77" spans="1:12" x14ac:dyDescent="0.3">
      <c r="A77" s="616"/>
      <c r="B77" s="617"/>
      <c r="C77" s="616"/>
      <c r="D77" s="616"/>
      <c r="E77" s="616"/>
      <c r="F77" s="616"/>
      <c r="G77" s="616"/>
      <c r="H77" s="616"/>
      <c r="I77" s="616"/>
      <c r="J77" s="616"/>
      <c r="K77" s="616"/>
    </row>
    <row r="78" spans="1:12" x14ac:dyDescent="0.3">
      <c r="A78" s="616"/>
      <c r="B78" s="617"/>
      <c r="C78" s="616"/>
      <c r="D78" s="616"/>
      <c r="E78" s="616"/>
      <c r="F78" s="616"/>
      <c r="G78" s="616"/>
      <c r="H78" s="616"/>
      <c r="I78" s="616"/>
      <c r="J78" s="616"/>
      <c r="K78" s="616"/>
    </row>
    <row r="79" spans="1:12" x14ac:dyDescent="0.3">
      <c r="A79" s="616"/>
      <c r="B79" s="617"/>
      <c r="C79" s="616"/>
      <c r="D79" s="616"/>
      <c r="E79" s="616"/>
      <c r="F79" s="616"/>
      <c r="G79" s="616"/>
      <c r="H79" s="616"/>
      <c r="I79" s="616"/>
      <c r="J79" s="616"/>
      <c r="K79" s="616"/>
    </row>
    <row r="80" spans="1:12" x14ac:dyDescent="0.3">
      <c r="A80" s="616"/>
      <c r="B80" s="617"/>
      <c r="C80" s="616"/>
      <c r="D80" s="616"/>
      <c r="E80" s="616"/>
      <c r="F80" s="616"/>
      <c r="G80" s="616"/>
      <c r="H80" s="616"/>
      <c r="I80" s="616"/>
      <c r="J80" s="616"/>
      <c r="K80" s="616"/>
    </row>
    <row r="81" spans="1:11" x14ac:dyDescent="0.3">
      <c r="A81" s="616"/>
      <c r="B81" s="617"/>
      <c r="C81" s="616"/>
      <c r="D81" s="616"/>
      <c r="E81" s="616"/>
      <c r="F81" s="616"/>
      <c r="G81" s="616"/>
      <c r="H81" s="616"/>
      <c r="I81" s="616"/>
      <c r="J81" s="616"/>
      <c r="K81" s="616"/>
    </row>
    <row r="82" spans="1:11" x14ac:dyDescent="0.3">
      <c r="A82" s="616"/>
      <c r="B82" s="617"/>
      <c r="C82" s="616"/>
      <c r="D82" s="616"/>
      <c r="E82" s="616"/>
      <c r="F82" s="616"/>
      <c r="G82" s="616"/>
      <c r="H82" s="616"/>
      <c r="I82" s="616"/>
      <c r="J82" s="616"/>
      <c r="K82" s="616"/>
    </row>
    <row r="83" spans="1:11" x14ac:dyDescent="0.3">
      <c r="A83" s="616"/>
      <c r="B83" s="617"/>
      <c r="C83" s="616"/>
      <c r="D83" s="616"/>
      <c r="E83" s="616"/>
      <c r="F83" s="616"/>
      <c r="G83" s="616"/>
      <c r="H83" s="616"/>
      <c r="I83" s="616"/>
      <c r="J83" s="616"/>
      <c r="K83" s="616"/>
    </row>
    <row r="84" spans="1:11" x14ac:dyDescent="0.3">
      <c r="A84" s="616"/>
      <c r="B84" s="617"/>
      <c r="C84" s="616"/>
      <c r="D84" s="616"/>
      <c r="E84" s="616"/>
      <c r="F84" s="616"/>
      <c r="G84" s="616"/>
      <c r="H84" s="616"/>
      <c r="I84" s="616"/>
      <c r="J84" s="616"/>
      <c r="K84" s="616"/>
    </row>
    <row r="85" spans="1:11" x14ac:dyDescent="0.3">
      <c r="A85" s="616"/>
      <c r="B85" s="617"/>
      <c r="C85" s="616"/>
      <c r="D85" s="616"/>
      <c r="E85" s="616"/>
      <c r="F85" s="616"/>
      <c r="G85" s="616"/>
      <c r="H85" s="616"/>
      <c r="I85" s="616"/>
      <c r="J85" s="616"/>
      <c r="K85" s="616"/>
    </row>
    <row r="86" spans="1:11" x14ac:dyDescent="0.3">
      <c r="A86" s="616"/>
      <c r="B86" s="617"/>
      <c r="C86" s="616"/>
      <c r="D86" s="616"/>
      <c r="E86" s="616"/>
      <c r="F86" s="616"/>
      <c r="G86" s="616"/>
      <c r="H86" s="616"/>
      <c r="I86" s="616"/>
      <c r="J86" s="616"/>
      <c r="K86" s="616"/>
    </row>
    <row r="87" spans="1:11" x14ac:dyDescent="0.3">
      <c r="A87" s="616"/>
      <c r="B87" s="617"/>
      <c r="C87" s="616"/>
      <c r="D87" s="616"/>
      <c r="E87" s="616"/>
      <c r="F87" s="616"/>
      <c r="G87" s="616"/>
      <c r="H87" s="616"/>
      <c r="I87" s="616"/>
      <c r="J87" s="616"/>
      <c r="K87" s="616"/>
    </row>
    <row r="88" spans="1:11" x14ac:dyDescent="0.3">
      <c r="A88" s="616"/>
      <c r="B88" s="617"/>
      <c r="C88" s="616"/>
      <c r="D88" s="616"/>
      <c r="E88" s="616"/>
      <c r="F88" s="616"/>
      <c r="G88" s="616"/>
      <c r="H88" s="616"/>
      <c r="I88" s="616"/>
      <c r="J88" s="616"/>
      <c r="K88" s="616"/>
    </row>
    <row r="89" spans="1:11" x14ac:dyDescent="0.3">
      <c r="A89" s="616"/>
      <c r="B89" s="617"/>
      <c r="C89" s="616"/>
      <c r="D89" s="616"/>
      <c r="E89" s="616"/>
      <c r="F89" s="616"/>
      <c r="G89" s="616"/>
      <c r="H89" s="616"/>
      <c r="I89" s="616"/>
      <c r="J89" s="616"/>
      <c r="K89" s="616"/>
    </row>
    <row r="90" spans="1:11" x14ac:dyDescent="0.3">
      <c r="A90" s="616"/>
      <c r="B90" s="617"/>
      <c r="C90" s="616"/>
      <c r="D90" s="616"/>
      <c r="E90" s="616"/>
      <c r="F90" s="616"/>
      <c r="G90" s="616"/>
      <c r="H90" s="616"/>
      <c r="I90" s="616"/>
      <c r="J90" s="616"/>
      <c r="K90" s="616"/>
    </row>
    <row r="91" spans="1:11" x14ac:dyDescent="0.3">
      <c r="A91" s="616"/>
      <c r="B91" s="617"/>
      <c r="C91" s="616"/>
      <c r="D91" s="616"/>
      <c r="E91" s="616"/>
      <c r="F91" s="616"/>
      <c r="G91" s="616"/>
      <c r="H91" s="616"/>
      <c r="I91" s="616"/>
      <c r="J91" s="616"/>
      <c r="K91" s="616"/>
    </row>
    <row r="92" spans="1:11" x14ac:dyDescent="0.3">
      <c r="A92" s="616"/>
      <c r="B92" s="617"/>
      <c r="C92" s="616"/>
      <c r="D92" s="616"/>
      <c r="E92" s="616"/>
      <c r="F92" s="616"/>
      <c r="G92" s="616"/>
      <c r="H92" s="616"/>
      <c r="I92" s="616"/>
      <c r="J92" s="616"/>
      <c r="K92" s="616"/>
    </row>
    <row r="93" spans="1:11" x14ac:dyDescent="0.3">
      <c r="A93" s="616"/>
      <c r="B93" s="617"/>
      <c r="C93" s="616"/>
      <c r="D93" s="616"/>
      <c r="E93" s="616"/>
      <c r="F93" s="616"/>
      <c r="G93" s="616"/>
      <c r="H93" s="616"/>
      <c r="I93" s="616"/>
      <c r="J93" s="616"/>
      <c r="K93" s="616"/>
    </row>
    <row r="94" spans="1:11" x14ac:dyDescent="0.3">
      <c r="A94" s="616"/>
      <c r="B94" s="617"/>
      <c r="C94" s="616"/>
      <c r="D94" s="616"/>
      <c r="E94" s="616"/>
      <c r="F94" s="616"/>
      <c r="G94" s="616"/>
      <c r="H94" s="616"/>
      <c r="I94" s="616"/>
      <c r="J94" s="616"/>
      <c r="K94" s="616"/>
    </row>
    <row r="95" spans="1:11" x14ac:dyDescent="0.3">
      <c r="A95" s="616"/>
      <c r="B95" s="617"/>
      <c r="C95" s="616"/>
      <c r="D95" s="616"/>
      <c r="E95" s="616"/>
      <c r="F95" s="616"/>
      <c r="G95" s="616"/>
      <c r="H95" s="616"/>
      <c r="I95" s="616"/>
      <c r="J95" s="616"/>
      <c r="K95" s="616"/>
    </row>
    <row r="96" spans="1:11" x14ac:dyDescent="0.3">
      <c r="A96" s="616"/>
      <c r="B96" s="617"/>
      <c r="C96" s="616"/>
      <c r="D96" s="616"/>
      <c r="E96" s="616"/>
      <c r="F96" s="616"/>
      <c r="G96" s="616"/>
      <c r="H96" s="616"/>
      <c r="I96" s="616"/>
      <c r="J96" s="616"/>
      <c r="K96" s="616"/>
    </row>
    <row r="97" spans="1:11" x14ac:dyDescent="0.3">
      <c r="A97" s="616"/>
      <c r="B97" s="617"/>
      <c r="C97" s="616"/>
      <c r="D97" s="616"/>
      <c r="E97" s="616"/>
      <c r="F97" s="616"/>
      <c r="G97" s="616"/>
      <c r="H97" s="616"/>
      <c r="I97" s="616"/>
      <c r="J97" s="616"/>
      <c r="K97" s="616"/>
    </row>
    <row r="98" spans="1:11" x14ac:dyDescent="0.3">
      <c r="A98" s="616"/>
      <c r="B98" s="617"/>
      <c r="C98" s="616"/>
      <c r="D98" s="616"/>
      <c r="E98" s="616"/>
      <c r="F98" s="616"/>
      <c r="G98" s="616"/>
      <c r="H98" s="616"/>
      <c r="I98" s="616"/>
      <c r="J98" s="616"/>
      <c r="K98" s="616"/>
    </row>
    <row r="99" spans="1:11" x14ac:dyDescent="0.3">
      <c r="A99" s="616"/>
      <c r="B99" s="617"/>
      <c r="C99" s="616"/>
      <c r="D99" s="616"/>
      <c r="E99" s="616"/>
      <c r="F99" s="616"/>
      <c r="G99" s="616"/>
      <c r="H99" s="616"/>
      <c r="I99" s="616"/>
      <c r="J99" s="616"/>
      <c r="K99" s="616"/>
    </row>
    <row r="100" spans="1:11" x14ac:dyDescent="0.3">
      <c r="A100" s="616"/>
      <c r="B100" s="617"/>
      <c r="C100" s="616"/>
      <c r="D100" s="616"/>
      <c r="E100" s="616"/>
      <c r="F100" s="616"/>
      <c r="G100" s="616"/>
      <c r="H100" s="616"/>
      <c r="I100" s="616"/>
      <c r="J100" s="616"/>
      <c r="K100" s="616"/>
    </row>
    <row r="101" spans="1:11" x14ac:dyDescent="0.3">
      <c r="A101" s="616"/>
      <c r="B101" s="617"/>
      <c r="C101" s="616"/>
      <c r="D101" s="616"/>
      <c r="E101" s="616"/>
      <c r="F101" s="616"/>
      <c r="G101" s="616"/>
      <c r="H101" s="616"/>
      <c r="I101" s="616"/>
      <c r="J101" s="616"/>
      <c r="K101" s="616"/>
    </row>
    <row r="102" spans="1:11" x14ac:dyDescent="0.3">
      <c r="A102" s="616"/>
      <c r="B102" s="617"/>
      <c r="C102" s="616"/>
      <c r="D102" s="616"/>
      <c r="E102" s="616"/>
      <c r="F102" s="616"/>
      <c r="G102" s="616"/>
      <c r="H102" s="616"/>
      <c r="I102" s="616"/>
      <c r="J102" s="616"/>
      <c r="K102" s="616"/>
    </row>
    <row r="103" spans="1:11" x14ac:dyDescent="0.3">
      <c r="A103" s="616"/>
      <c r="B103" s="617"/>
      <c r="C103" s="616"/>
      <c r="D103" s="616"/>
      <c r="E103" s="616"/>
      <c r="F103" s="616"/>
      <c r="G103" s="616"/>
      <c r="H103" s="616"/>
      <c r="I103" s="616"/>
      <c r="J103" s="616"/>
      <c r="K103" s="616"/>
    </row>
    <row r="104" spans="1:11" x14ac:dyDescent="0.3">
      <c r="A104" s="616"/>
      <c r="B104" s="617"/>
      <c r="C104" s="616"/>
      <c r="D104" s="616"/>
      <c r="E104" s="616"/>
      <c r="F104" s="616"/>
      <c r="G104" s="616"/>
      <c r="H104" s="616"/>
      <c r="I104" s="616"/>
      <c r="J104" s="616"/>
      <c r="K104" s="616"/>
    </row>
    <row r="105" spans="1:11" x14ac:dyDescent="0.3">
      <c r="A105" s="616"/>
      <c r="B105" s="617"/>
      <c r="C105" s="616"/>
      <c r="D105" s="616"/>
      <c r="E105" s="616"/>
      <c r="F105" s="616"/>
      <c r="G105" s="616"/>
      <c r="H105" s="616"/>
      <c r="I105" s="616"/>
      <c r="J105" s="616"/>
      <c r="K105" s="616"/>
    </row>
    <row r="106" spans="1:11" x14ac:dyDescent="0.3">
      <c r="A106" s="616"/>
      <c r="B106" s="617"/>
      <c r="C106" s="616"/>
      <c r="D106" s="616"/>
      <c r="E106" s="616"/>
      <c r="F106" s="616"/>
      <c r="G106" s="616"/>
      <c r="H106" s="616"/>
      <c r="I106" s="616"/>
      <c r="J106" s="616"/>
      <c r="K106" s="616"/>
    </row>
    <row r="107" spans="1:11" x14ac:dyDescent="0.3">
      <c r="A107" s="616"/>
      <c r="B107" s="617"/>
      <c r="C107" s="616"/>
      <c r="D107" s="616"/>
      <c r="E107" s="616"/>
      <c r="F107" s="616"/>
      <c r="G107" s="616"/>
      <c r="H107" s="616"/>
      <c r="I107" s="616"/>
      <c r="J107" s="616"/>
      <c r="K107" s="616"/>
    </row>
  </sheetData>
  <autoFilter ref="A1:L7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35</vt:i4>
      </vt:variant>
      <vt:variant>
        <vt:lpstr>Névvel ellátott tartományok</vt:lpstr>
      </vt:variant>
      <vt:variant>
        <vt:i4>2</vt:i4>
      </vt:variant>
    </vt:vector>
  </HeadingPairs>
  <TitlesOfParts>
    <vt:vector size="37" baseType="lpstr">
      <vt:lpstr>SAP rögzítés</vt:lpstr>
      <vt:lpstr>1 kari főtábla</vt:lpstr>
      <vt:lpstr>7.</vt:lpstr>
      <vt:lpstr>14.c</vt:lpstr>
      <vt:lpstr>10.</vt:lpstr>
      <vt:lpstr>22.b3</vt:lpstr>
      <vt:lpstr>22.b2</vt:lpstr>
      <vt:lpstr>3.a</vt:lpstr>
      <vt:lpstr>Bevétel 2a SZH 2023</vt:lpstr>
      <vt:lpstr>Kiadások 2a SZH 2023</vt:lpstr>
      <vt:lpstr>1 b felosztások</vt:lpstr>
      <vt:lpstr>2 források és kiadások</vt:lpstr>
      <vt:lpstr>3a bevételek</vt:lpstr>
      <vt:lpstr>3b képzési bevételek</vt:lpstr>
      <vt:lpstr>4. melléklet</vt:lpstr>
      <vt:lpstr>5. melléklet</vt:lpstr>
      <vt:lpstr>6. melléklet</vt:lpstr>
      <vt:lpstr>7. melléklet</vt:lpstr>
      <vt:lpstr>8 pályázat elszámolásköteles</vt:lpstr>
      <vt:lpstr>14.b</vt:lpstr>
      <vt:lpstr>3.a SH itt lévő-nem lévő bontás</vt:lpstr>
      <vt:lpstr>Munka4</vt:lpstr>
      <vt:lpstr>Neptun sz.e.</vt:lpstr>
      <vt:lpstr>Tervezés</vt:lpstr>
      <vt:lpstr>7d űrlapsoros tervezéshez</vt:lpstr>
      <vt:lpstr>12.</vt:lpstr>
      <vt:lpstr>12.c - folyórat</vt:lpstr>
      <vt:lpstr>12.c- EISZ</vt:lpstr>
      <vt:lpstr>20.</vt:lpstr>
      <vt:lpstr>Munka2</vt:lpstr>
      <vt:lpstr>16</vt:lpstr>
      <vt:lpstr>11.</vt:lpstr>
      <vt:lpstr>2022. tervsor</vt:lpstr>
      <vt:lpstr>19.</vt:lpstr>
      <vt:lpstr>2a</vt:lpstr>
      <vt:lpstr>'7d űrlapsoros tervezéshez'!Nyomtatási_cím</vt:lpstr>
      <vt:lpstr>'8 pályázat elszámolásköteles'!Nyomtatási_cím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ELTE-User</dc:creator>
  <cp:lastModifiedBy>Kóta Melinda</cp:lastModifiedBy>
  <cp:lastPrinted>2023-05-10T13:09:23Z</cp:lastPrinted>
  <dcterms:created xsi:type="dcterms:W3CDTF">2021-03-01T12:09:29Z</dcterms:created>
  <dcterms:modified xsi:type="dcterms:W3CDTF">2023-05-24T08:44:12Z</dcterms:modified>
</cp:coreProperties>
</file>