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ta.melinda\Desktop\BDPK_2023\BDPK Intézeti Tanács_2023\IT_2023_05_26_jelenléti\"/>
    </mc:Choice>
  </mc:AlternateContent>
  <bookViews>
    <workbookView xWindow="0" yWindow="0" windowWidth="23040" windowHeight="8616" activeTab="9"/>
  </bookViews>
  <sheets>
    <sheet name="20-21. táblázat" sheetId="22" r:id="rId1"/>
    <sheet name="22. táblázat" sheetId="31" r:id="rId2"/>
    <sheet name="23. táblázat" sheetId="32" r:id="rId3"/>
    <sheet name="24. táblázat" sheetId="17" r:id="rId4"/>
    <sheet name="21-22. táblázat" sheetId="27" state="hidden" r:id="rId5"/>
    <sheet name="25.táblázat" sheetId="24" r:id="rId6"/>
    <sheet name="26-27. táblázat" sheetId="25" r:id="rId7"/>
    <sheet name="28. táblázat" sheetId="26" r:id="rId8"/>
    <sheet name="29-30. táblázat" sheetId="16" r:id="rId9"/>
    <sheet name="Függelék_6.melléklet" sheetId="29" r:id="rId10"/>
    <sheet name="Függelék_7. melléklet" sheetId="30" r:id="rId11"/>
    <sheet name="Függelék_9. melléklet" sheetId="15" r:id="rId12"/>
  </sheets>
  <definedNames>
    <definedName name="_xlnm._FilterDatabase" localSheetId="9" hidden="1">Függelék_6.melléklet!#REF!</definedName>
  </definedNames>
  <calcPr calcId="162913"/>
</workbook>
</file>

<file path=xl/calcChain.xml><?xml version="1.0" encoding="utf-8"?>
<calcChain xmlns="http://schemas.openxmlformats.org/spreadsheetml/2006/main">
  <c r="K6" i="22" l="1"/>
  <c r="L6" i="22"/>
  <c r="K7" i="22"/>
  <c r="M6" i="22" s="1"/>
  <c r="L7" i="22"/>
  <c r="K8" i="22"/>
  <c r="L8" i="22"/>
  <c r="M9" i="22"/>
  <c r="M12" i="22"/>
  <c r="M13" i="22"/>
  <c r="M14" i="22"/>
  <c r="M15" i="22"/>
  <c r="M16" i="22"/>
  <c r="M17" i="22"/>
  <c r="K18" i="22"/>
  <c r="M18" i="22"/>
  <c r="M19" i="22"/>
  <c r="M20" i="22"/>
  <c r="M21" i="22"/>
  <c r="M22" i="22"/>
  <c r="M23" i="22"/>
  <c r="M24" i="22"/>
  <c r="M25" i="22"/>
  <c r="M26" i="22"/>
  <c r="M27" i="22"/>
  <c r="K28" i="22"/>
  <c r="M28" i="22"/>
  <c r="M29" i="22"/>
  <c r="K30" i="22"/>
  <c r="L30" i="22"/>
  <c r="M30" i="22" s="1"/>
  <c r="F29" i="32"/>
  <c r="F28" i="32"/>
  <c r="D28" i="32"/>
  <c r="F27" i="32"/>
  <c r="F26" i="32"/>
  <c r="F25" i="32"/>
  <c r="F24" i="32"/>
  <c r="F23" i="32"/>
  <c r="F22" i="32"/>
  <c r="F21" i="32"/>
  <c r="F20" i="32"/>
  <c r="F19" i="32"/>
  <c r="D18" i="32"/>
  <c r="F18" i="32" s="1"/>
  <c r="F17" i="32"/>
  <c r="F16" i="32"/>
  <c r="F15" i="32"/>
  <c r="F14" i="32"/>
  <c r="F13" i="32"/>
  <c r="F12" i="32"/>
  <c r="F9" i="32"/>
  <c r="E8" i="32"/>
  <c r="D8" i="32"/>
  <c r="E7" i="32"/>
  <c r="D7" i="32"/>
  <c r="E6" i="32"/>
  <c r="E30" i="32" s="1"/>
  <c r="D6" i="32"/>
  <c r="D30" i="32" s="1"/>
  <c r="B9" i="31"/>
  <c r="D8" i="31"/>
  <c r="C7" i="31"/>
  <c r="C9" i="31" s="1"/>
  <c r="D6" i="31"/>
  <c r="F30" i="32" l="1"/>
  <c r="F6" i="32"/>
  <c r="D7" i="31"/>
  <c r="D9" i="31" s="1"/>
  <c r="L44" i="29" l="1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W32" i="29"/>
  <c r="V32" i="29"/>
  <c r="U32" i="29"/>
  <c r="T32" i="29"/>
  <c r="S32" i="29"/>
  <c r="R32" i="29"/>
  <c r="Q32" i="29"/>
  <c r="P32" i="29"/>
  <c r="O32" i="29"/>
  <c r="N32" i="29"/>
  <c r="M32" i="29"/>
  <c r="M44" i="29" s="1"/>
  <c r="L32" i="29"/>
  <c r="K32" i="29"/>
  <c r="J32" i="29"/>
  <c r="I32" i="29"/>
  <c r="H32" i="29"/>
  <c r="G32" i="29"/>
  <c r="F32" i="29"/>
  <c r="E32" i="29"/>
  <c r="W29" i="29"/>
  <c r="V29" i="29"/>
  <c r="U29" i="29"/>
  <c r="T29" i="29"/>
  <c r="S29" i="29"/>
  <c r="R29" i="29"/>
  <c r="Q29" i="29"/>
  <c r="P29" i="29"/>
  <c r="O29" i="29"/>
  <c r="N29" i="29"/>
  <c r="M29" i="29"/>
  <c r="L29" i="29"/>
  <c r="K29" i="29"/>
  <c r="J29" i="29"/>
  <c r="I29" i="29"/>
  <c r="H29" i="29"/>
  <c r="G29" i="29"/>
  <c r="F29" i="29"/>
  <c r="E29" i="29"/>
  <c r="K27" i="29"/>
  <c r="R27" i="29" s="1"/>
  <c r="T27" i="29" s="1"/>
  <c r="R26" i="29"/>
  <c r="T26" i="29" s="1"/>
  <c r="Q26" i="29"/>
  <c r="U26" i="29" s="1"/>
  <c r="W26" i="29" s="1"/>
  <c r="R25" i="29"/>
  <c r="T25" i="29" s="1"/>
  <c r="U25" i="29" s="1"/>
  <c r="W25" i="29" s="1"/>
  <c r="Q25" i="29"/>
  <c r="R24" i="29"/>
  <c r="T24" i="29" s="1"/>
  <c r="Q24" i="29"/>
  <c r="R23" i="29"/>
  <c r="T23" i="29" s="1"/>
  <c r="U23" i="29" s="1"/>
  <c r="W23" i="29" s="1"/>
  <c r="Q23" i="29"/>
  <c r="R22" i="29"/>
  <c r="T22" i="29" s="1"/>
  <c r="Q22" i="29"/>
  <c r="U22" i="29" s="1"/>
  <c r="W22" i="29" s="1"/>
  <c r="R21" i="29"/>
  <c r="T21" i="29" s="1"/>
  <c r="Q21" i="29"/>
  <c r="U21" i="29" s="1"/>
  <c r="W21" i="29" s="1"/>
  <c r="R20" i="29"/>
  <c r="T20" i="29" s="1"/>
  <c r="Q20" i="29"/>
  <c r="U20" i="29" s="1"/>
  <c r="W20" i="29" s="1"/>
  <c r="R19" i="29"/>
  <c r="T19" i="29" s="1"/>
  <c r="Q19" i="29"/>
  <c r="U19" i="29" s="1"/>
  <c r="W19" i="29" s="1"/>
  <c r="T18" i="29"/>
  <c r="U18" i="29" s="1"/>
  <c r="W18" i="29" s="1"/>
  <c r="R18" i="29"/>
  <c r="Q18" i="29"/>
  <c r="R17" i="29"/>
  <c r="T17" i="29" s="1"/>
  <c r="Q17" i="29"/>
  <c r="U17" i="29" s="1"/>
  <c r="W17" i="29" s="1"/>
  <c r="V16" i="29"/>
  <c r="V5" i="29" s="1"/>
  <c r="R16" i="29"/>
  <c r="T16" i="29" s="1"/>
  <c r="U16" i="29" s="1"/>
  <c r="W16" i="29" s="1"/>
  <c r="Q16" i="29"/>
  <c r="R15" i="29"/>
  <c r="T15" i="29" s="1"/>
  <c r="Q15" i="29"/>
  <c r="U15" i="29" s="1"/>
  <c r="W15" i="29" s="1"/>
  <c r="R14" i="29"/>
  <c r="T14" i="29" s="1"/>
  <c r="Q14" i="29"/>
  <c r="U14" i="29" s="1"/>
  <c r="W14" i="29" s="1"/>
  <c r="R13" i="29"/>
  <c r="T13" i="29" s="1"/>
  <c r="U13" i="29" s="1"/>
  <c r="W13" i="29" s="1"/>
  <c r="Q13" i="29"/>
  <c r="R12" i="29"/>
  <c r="T12" i="29" s="1"/>
  <c r="Q12" i="29"/>
  <c r="T11" i="29"/>
  <c r="U11" i="29" s="1"/>
  <c r="W11" i="29" s="1"/>
  <c r="R11" i="29"/>
  <c r="Q11" i="29"/>
  <c r="R10" i="29"/>
  <c r="T10" i="29" s="1"/>
  <c r="Q10" i="29"/>
  <c r="U10" i="29" s="1"/>
  <c r="W10" i="29" s="1"/>
  <c r="R9" i="29"/>
  <c r="T9" i="29" s="1"/>
  <c r="Q9" i="29"/>
  <c r="U9" i="29" s="1"/>
  <c r="W9" i="29" s="1"/>
  <c r="T8" i="29"/>
  <c r="R8" i="29"/>
  <c r="Q8" i="29"/>
  <c r="U8" i="29" s="1"/>
  <c r="W8" i="29" s="1"/>
  <c r="R7" i="29"/>
  <c r="T7" i="29" s="1"/>
  <c r="Q7" i="29"/>
  <c r="R6" i="29"/>
  <c r="T6" i="29" s="1"/>
  <c r="Q6" i="29"/>
  <c r="S5" i="29"/>
  <c r="P5" i="29"/>
  <c r="O5" i="29"/>
  <c r="N5" i="29"/>
  <c r="M5" i="29"/>
  <c r="L5" i="29"/>
  <c r="K5" i="29"/>
  <c r="J5" i="29"/>
  <c r="J44" i="29" s="1"/>
  <c r="I5" i="29"/>
  <c r="I44" i="29" s="1"/>
  <c r="H5" i="29"/>
  <c r="H44" i="29" s="1"/>
  <c r="G5" i="29"/>
  <c r="F5" i="29"/>
  <c r="E5" i="29"/>
  <c r="K44" i="29" l="1"/>
  <c r="O44" i="29"/>
  <c r="P44" i="29"/>
  <c r="N44" i="29"/>
  <c r="S44" i="29"/>
  <c r="V44" i="29"/>
  <c r="E44" i="29"/>
  <c r="F44" i="29"/>
  <c r="G44" i="29"/>
  <c r="U6" i="29"/>
  <c r="T5" i="29"/>
  <c r="T44" i="29" s="1"/>
  <c r="U7" i="29"/>
  <c r="W7" i="29" s="1"/>
  <c r="U12" i="29"/>
  <c r="W12" i="29" s="1"/>
  <c r="U24" i="29"/>
  <c r="W24" i="29" s="1"/>
  <c r="R5" i="29"/>
  <c r="R44" i="29" s="1"/>
  <c r="Q27" i="29"/>
  <c r="U27" i="29" s="1"/>
  <c r="W27" i="29" s="1"/>
  <c r="Q5" i="29"/>
  <c r="Q44" i="29" s="1"/>
  <c r="G8" i="25"/>
  <c r="U5" i="29" l="1"/>
  <c r="U44" i="29" s="1"/>
  <c r="W6" i="29"/>
  <c r="W5" i="29" s="1"/>
  <c r="W44" i="29" s="1"/>
  <c r="E7" i="22" l="1"/>
  <c r="E8" i="22"/>
  <c r="E10" i="22"/>
  <c r="E11" i="22"/>
  <c r="G13" i="16" l="1"/>
  <c r="C20" i="16"/>
  <c r="D20" i="16" s="1"/>
  <c r="D15" i="16"/>
  <c r="C23" i="16" l="1"/>
  <c r="C7" i="25" l="1"/>
  <c r="C11" i="25"/>
  <c r="C5" i="24"/>
  <c r="C7" i="24"/>
  <c r="C13" i="24"/>
  <c r="B9" i="17"/>
  <c r="C8" i="17"/>
  <c r="C9" i="17" s="1"/>
  <c r="C9" i="22" l="1"/>
  <c r="D11" i="25"/>
  <c r="D6" i="22" l="1"/>
  <c r="E6" i="22" s="1"/>
  <c r="D9" i="22" l="1"/>
  <c r="G16" i="16" l="1"/>
  <c r="D23" i="16"/>
  <c r="B23" i="16" l="1"/>
  <c r="F21" i="27" l="1"/>
  <c r="E15" i="27"/>
  <c r="F15" i="27" s="1"/>
  <c r="E9" i="27"/>
  <c r="F9" i="27" s="1"/>
  <c r="F20" i="27" l="1"/>
  <c r="F19" i="27"/>
  <c r="D14" i="27"/>
  <c r="E14" i="27" s="1"/>
  <c r="F14" i="27" s="1"/>
  <c r="D8" i="27"/>
  <c r="E8" i="27" s="1"/>
  <c r="F8" i="27" s="1"/>
</calcChain>
</file>

<file path=xl/comments1.xml><?xml version="1.0" encoding="utf-8"?>
<comments xmlns="http://schemas.openxmlformats.org/spreadsheetml/2006/main">
  <authors>
    <author>Erdei Zsuzsa</author>
  </authors>
  <commentList>
    <comment ref="A6" authorId="0" shapeId="0">
      <text>
        <r>
          <rPr>
            <b/>
            <sz val="9"/>
            <color indexed="81"/>
            <rFont val="Tahoma"/>
            <family val="2"/>
            <charset val="238"/>
          </rPr>
          <t>Erdei Zsuzsa:</t>
        </r>
        <r>
          <rPr>
            <sz val="9"/>
            <color indexed="81"/>
            <rFont val="Tahoma"/>
            <family val="2"/>
            <charset val="238"/>
          </rPr>
          <t xml:space="preserve">
erasmus, vendéghallgatók átoktatása,osztatlan hittanár-nevelőtanár</t>
        </r>
      </text>
    </comment>
  </commentList>
</comments>
</file>

<file path=xl/sharedStrings.xml><?xml version="1.0" encoding="utf-8"?>
<sst xmlns="http://schemas.openxmlformats.org/spreadsheetml/2006/main" count="509" uniqueCount="325">
  <si>
    <t>Szlavisztika Tanszék</t>
  </si>
  <si>
    <t>Történelem Tanszék</t>
  </si>
  <si>
    <t>Kémiai Tanszék</t>
  </si>
  <si>
    <t>Földrajzi Tanszék</t>
  </si>
  <si>
    <t>Fizikai Tanszék</t>
  </si>
  <si>
    <t>Matematikai Tanszék</t>
  </si>
  <si>
    <t>Közterületesítés elszámolás</t>
  </si>
  <si>
    <t>Összesen:</t>
  </si>
  <si>
    <t>Kiadások összesen</t>
  </si>
  <si>
    <t>Gazdasági Hivatal</t>
  </si>
  <si>
    <t>Működési kiadások</t>
  </si>
  <si>
    <t>Tanulmányi Hivatal</t>
  </si>
  <si>
    <t>Campus Iroda</t>
  </si>
  <si>
    <t>Könyvtár és Levéltár</t>
  </si>
  <si>
    <t>Források</t>
  </si>
  <si>
    <t>2021.</t>
  </si>
  <si>
    <t>Nemzetiségi képzés</t>
  </si>
  <si>
    <t>Összesen</t>
  </si>
  <si>
    <t>Oktatói béremelés fedezete (2018. évi arányban)</t>
  </si>
  <si>
    <t>Tárgyévi közterületesítés miatti átrendezés</t>
  </si>
  <si>
    <t>Kiadási jogcímek / szervezetek</t>
  </si>
  <si>
    <t>Informatikai Csoport</t>
  </si>
  <si>
    <t>Kötelezően tervezendő telefon költség</t>
  </si>
  <si>
    <t>Kötelezően tervezendő üzemeltetési és energia költségek</t>
  </si>
  <si>
    <t>Kötelezően tervezendő folyóirat</t>
  </si>
  <si>
    <t>Rekrutáció</t>
  </si>
  <si>
    <t>ÁKTH Mentességi Alap</t>
  </si>
  <si>
    <t>Könyvtár RFID projekt (2021-23 évente 3,1 mFt)</t>
  </si>
  <si>
    <t>Köznevelési Alapba befizetendő 1 %</t>
  </si>
  <si>
    <t>Bevételi jogcímek</t>
  </si>
  <si>
    <t>Előző évi maradvány</t>
  </si>
  <si>
    <t>Előző évi kötelezettségvállalás</t>
  </si>
  <si>
    <t>Szocho elvonás funkcionális szervezetekre</t>
  </si>
  <si>
    <t>Előző évi telefonköltség elszámolás</t>
  </si>
  <si>
    <t>Egyéb saját hasznosítási bevételek</t>
  </si>
  <si>
    <t>Bevételek összesen:</t>
  </si>
  <si>
    <t>Személyi (Ft)</t>
  </si>
  <si>
    <t>Dologi (Ft)</t>
  </si>
  <si>
    <t>Összesen (Ft)</t>
  </si>
  <si>
    <t>Hallgatói díjak (tanulmányi ügyintézés bevételei)</t>
  </si>
  <si>
    <t>Létesítmények (vagyon) hasznosítása, bérbeadása</t>
  </si>
  <si>
    <t xml:space="preserve">Egyéb saját bevételek </t>
  </si>
  <si>
    <t>BDPK oktatási szervezeti egységek összesen</t>
  </si>
  <si>
    <t>Ft</t>
  </si>
  <si>
    <t>I.</t>
  </si>
  <si>
    <t>Források összesen</t>
  </si>
  <si>
    <t>II.</t>
  </si>
  <si>
    <t>III.</t>
  </si>
  <si>
    <t>VI.</t>
  </si>
  <si>
    <t xml:space="preserve">Szervezeti egységek költségvetési pozíciója, tartaléka </t>
  </si>
  <si>
    <t>VII.</t>
  </si>
  <si>
    <t>VIII.</t>
  </si>
  <si>
    <t>Átoktatás átadás, támogatás</t>
  </si>
  <si>
    <t>Képzési támogatás</t>
  </si>
  <si>
    <t>Átoktatás átvétel, támogatás</t>
  </si>
  <si>
    <t>Átoktatás átadás, önköltséges</t>
  </si>
  <si>
    <t>Önköltséges képzési bevétel</t>
  </si>
  <si>
    <t>Átoktatás átvétel, önköltséges bevétel</t>
  </si>
  <si>
    <t>Átoktatás átadás, egyéb finanszírozású bevétel</t>
  </si>
  <si>
    <t>Egyéb saját bevételek</t>
  </si>
  <si>
    <t>Kötelező minimálbér, garantált bérminimum kiegészítés</t>
  </si>
  <si>
    <t>Művészeti gyakorlóhely</t>
  </si>
  <si>
    <t>Maradvány</t>
  </si>
  <si>
    <t>Átoktatás átvétel, Stipendium Hungaricum</t>
  </si>
  <si>
    <t>1.</t>
  </si>
  <si>
    <t>2.</t>
  </si>
  <si>
    <t>5.</t>
  </si>
  <si>
    <t>7.</t>
  </si>
  <si>
    <t>4.</t>
  </si>
  <si>
    <t>8.</t>
  </si>
  <si>
    <t>3.</t>
  </si>
  <si>
    <t>6.</t>
  </si>
  <si>
    <t>9.</t>
  </si>
  <si>
    <t>Képzési bevétel, állami támogatás</t>
  </si>
  <si>
    <t>Képzési bevétel, önköltség</t>
  </si>
  <si>
    <t>Oktatói bérkiegészítés fedezete (2018. évi arányban)</t>
  </si>
  <si>
    <t>Kis szakok</t>
  </si>
  <si>
    <t>Speciális támogatások</t>
  </si>
  <si>
    <t xml:space="preserve">Kiválósági ösztöndíjhoz hozzájárulás </t>
  </si>
  <si>
    <t>Nemzeköziesítésre elvonás</t>
  </si>
  <si>
    <t>Kiadások</t>
  </si>
  <si>
    <t>Személyi juttatások</t>
  </si>
  <si>
    <t>Üzemeltetési költségek</t>
  </si>
  <si>
    <t>Dologi kiadások</t>
  </si>
  <si>
    <t>Üzemeltetési személyi kiadások</t>
  </si>
  <si>
    <t>Kötelezően tervezendő telefonköltség</t>
  </si>
  <si>
    <t>Kari kiválósági kiadások</t>
  </si>
  <si>
    <t>Német Nyelv- és Irodalom Tanszék</t>
  </si>
  <si>
    <t>Angol Nyelv- és Irodalom Tanszék</t>
  </si>
  <si>
    <t>Magyar Nyelvtudományi Tanszék</t>
  </si>
  <si>
    <t>Vizuális Művészeti Tanszék</t>
  </si>
  <si>
    <t>Biológiai Tanszék</t>
  </si>
  <si>
    <t xml:space="preserve">Magyar Irodalomtudományi Tanszék </t>
  </si>
  <si>
    <t>Zenepedagógiai Tanszék</t>
  </si>
  <si>
    <t>Béremelés_2021-2022</t>
  </si>
  <si>
    <t>Nemzetiségi képzés (szlavisztika)</t>
  </si>
  <si>
    <t>Szombathelyi képzések fejlesztése ( célzottan BDPK)</t>
  </si>
  <si>
    <t>Kis szakok ( szlavisztika)</t>
  </si>
  <si>
    <t>Anyanyelvi lektorok</t>
  </si>
  <si>
    <t>MGY_vegyes súlyozott arány (60% hallgató-40% oktató)</t>
  </si>
  <si>
    <t>Tanszékekhez kapcsolódó hallgatói létszámarány</t>
  </si>
  <si>
    <t>Tárgyévi közterületesítés miatti átrendezés, támogatás</t>
  </si>
  <si>
    <t>Lektorok elszámolás 2021 év után</t>
  </si>
  <si>
    <t>2022.</t>
  </si>
  <si>
    <t xml:space="preserve">Támogatási bevétel alakulása </t>
  </si>
  <si>
    <t>átoktatás előtt</t>
  </si>
  <si>
    <t>átadott átoktatás</t>
  </si>
  <si>
    <t>kapott átoktatás</t>
  </si>
  <si>
    <t>átoktatás után</t>
  </si>
  <si>
    <t>2020. évi tény</t>
  </si>
  <si>
    <t>Önköltséges bevételek</t>
  </si>
  <si>
    <t xml:space="preserve">Egyéb bevételek </t>
  </si>
  <si>
    <t>2021. évi tény</t>
  </si>
  <si>
    <t>2022. évi terv</t>
  </si>
  <si>
    <t>2021 évi tény</t>
  </si>
  <si>
    <t>Támogatási bevétel</t>
  </si>
  <si>
    <t>Önköltséges bevétel</t>
  </si>
  <si>
    <t>Egyéb bevétel</t>
  </si>
  <si>
    <t>Időszak</t>
  </si>
  <si>
    <t>Bevétel típusa</t>
  </si>
  <si>
    <t>Változás</t>
  </si>
  <si>
    <t>Oktatói béremelés fedezete</t>
  </si>
  <si>
    <t>10.</t>
  </si>
  <si>
    <t>11.</t>
  </si>
  <si>
    <t>12.</t>
  </si>
  <si>
    <t xml:space="preserve">Egyetemi kiválósági alap </t>
  </si>
  <si>
    <t xml:space="preserve">Belső átrendezés TKK-ra </t>
  </si>
  <si>
    <t>Felosztáshoz kapcsolódó források, hozzájárulások, kiadások megnevezése</t>
  </si>
  <si>
    <t xml:space="preserve">Egyetemi hozzájárulások, belső átrendezések összesen </t>
  </si>
  <si>
    <t>Általános Tartalék</t>
  </si>
  <si>
    <t>Gépjármű üzemeltetés</t>
  </si>
  <si>
    <t>Fedezet elkülönítése pályázatok zárásakor várható visszautasított tételekre</t>
  </si>
  <si>
    <t>Speciális támogatások nem ÁKTH-s( kötelező minimálbér, garantált bérminimum kiegészítés, kulturális illetménypótlék, kulturális emelés fedezete)</t>
  </si>
  <si>
    <t>Szombathelyi képzések fejlesztése</t>
  </si>
  <si>
    <t>Tárgyévi bevétel ÁKTH-ból ( helyi karok+ köznevelés)</t>
  </si>
  <si>
    <t>Kancellári Kabinet és Pályázati Iroda</t>
  </si>
  <si>
    <t>Hozzájárulások, belső átrendezések összesen</t>
  </si>
  <si>
    <t>2022. évi bevételek elemzése</t>
  </si>
  <si>
    <t>SH bevétele</t>
  </si>
  <si>
    <t>Bevételek átrendezések, egyetemi hozzájárulások</t>
  </si>
  <si>
    <t>2023. évi BDPK összesített költségvetési sémája</t>
  </si>
  <si>
    <t>„Keresztfinanszírozási és Havaria Alap”</t>
  </si>
  <si>
    <t xml:space="preserve"> Intézkedési terv alapján történő megtakarítások</t>
  </si>
  <si>
    <t>2023.</t>
  </si>
  <si>
    <t>Egyetemi minimumbér és béremelés allokáció</t>
  </si>
  <si>
    <t xml:space="preserve">2023 évi többlet támogatás allokációja </t>
  </si>
  <si>
    <t>Energiakompenzáció</t>
  </si>
  <si>
    <t>Egyéb ÁKTH (köznevelés 6%-a, pályázati rezsi)</t>
  </si>
  <si>
    <t>13.</t>
  </si>
  <si>
    <t>14.</t>
  </si>
  <si>
    <t>2022-2023. évi és tárgyévi  saját bevételek összehasonlítáa</t>
  </si>
  <si>
    <t>Előirányzat csökkentéshez hozzájárulás</t>
  </si>
  <si>
    <t>2023. évi kiadások</t>
  </si>
  <si>
    <t>Gazdasági Bizottság által elfogadott felosztási metodika</t>
  </si>
  <si>
    <t>Belső átrendezés gyakorlatszervezés működésre</t>
  </si>
  <si>
    <t>Belső átrendezés tanárképzés gyakorlatszervezésre</t>
  </si>
  <si>
    <t>Előirányzat csökkentéshez hozzájárulás tárgyévi összes bevétel és tervezett pályázati kiadás alapján</t>
  </si>
  <si>
    <t>2023 évi többlet támogatás allokációja (előirányzat csökkentéshez hozzájárulás arányában)</t>
  </si>
  <si>
    <t>2022. évi SH képzési  támogatás elszámolás ELŐZETES összeg 2022.12.09-i "képzési elszámolás arányainak" megfelelően (visszafizetés maradványból)</t>
  </si>
  <si>
    <t>Belső működési átadás - képzési munkaszámok maradványának szétosztása</t>
  </si>
  <si>
    <t>Belső működési átadás - Igazgatói Hivatal forrásbiztosítás</t>
  </si>
  <si>
    <t>Belső működési átadás - Lektorok forrásbiztosítás</t>
  </si>
  <si>
    <t>Belső működési átadás - a központ általános kiadásaira forrásbiztosítás</t>
  </si>
  <si>
    <t>Kötelezően tervezendő műszak, energia, üzemeltetés (közterületesítés nélkül) és SPRSZKK használati aránya</t>
  </si>
  <si>
    <t>Vegyes súlyozott arány (60% hallgató-40% oktató)</t>
  </si>
  <si>
    <t>Tanszékekhez kapcsolt, OTAK-RTAK képzésben résztvevő hallgatók létszámaránya</t>
  </si>
  <si>
    <t>Oktatói létszámarány csak oktatási egységek figyelembevételével (Igazgatói Hivatal nélkül)</t>
  </si>
  <si>
    <t>Munkaválallói létszámarány_ minden szervezeti egység figyelembevételével (Igazgatói Hivatallal együtt)</t>
  </si>
  <si>
    <t>Nemzetiségi képzés, kisszakok ( Szlavisztika)</t>
  </si>
  <si>
    <t>Tanszékek 2023-es évi lektori bérbeadás arányában</t>
  </si>
  <si>
    <t>Könyvelt támogatási előirányzatok arányában, célszervezetekre való leosztás mértékében</t>
  </si>
  <si>
    <t>Tanszékek külföldi hallgatóinak létszámának arányosításával</t>
  </si>
  <si>
    <t>2022-es évben tanszéki SH támogatás arányában</t>
  </si>
  <si>
    <t>Belföldi-külföldi folyóirat elszámolás</t>
  </si>
  <si>
    <t>2023. év funkcionális egységek bevételei és kiadásai</t>
  </si>
  <si>
    <t xml:space="preserve">Előző évi képzési támogatás elszámolás - bruttó - minisztérium által  visszaigazolt összeg </t>
  </si>
  <si>
    <t>Szochó elvonás</t>
  </si>
  <si>
    <t>ÁKTH</t>
  </si>
  <si>
    <t>Üzemeltetési kiadások</t>
  </si>
  <si>
    <t>Energiaköltségek</t>
  </si>
  <si>
    <t>Üzemeltetési költségrész</t>
  </si>
  <si>
    <t>2022. évi maradvány</t>
  </si>
  <si>
    <t>Üzemeltetési bérköltségek</t>
  </si>
  <si>
    <r>
      <t xml:space="preserve">Képzési támogatás felosztása </t>
    </r>
    <r>
      <rPr>
        <b/>
        <sz val="10"/>
        <color theme="1"/>
        <rFont val="Garamond"/>
        <family val="1"/>
        <charset val="238"/>
      </rPr>
      <t xml:space="preserve">általános </t>
    </r>
    <r>
      <rPr>
        <sz val="10"/>
        <color theme="1"/>
        <rFont val="Garamond"/>
        <family val="1"/>
        <charset val="238"/>
      </rPr>
      <t>munkaszámról tanszékekre</t>
    </r>
  </si>
  <si>
    <r>
      <t xml:space="preserve">Önköltséges képzési bevétel felosztása </t>
    </r>
    <r>
      <rPr>
        <b/>
        <sz val="10"/>
        <color theme="1"/>
        <rFont val="Garamond"/>
        <family val="1"/>
        <charset val="238"/>
      </rPr>
      <t xml:space="preserve">általános </t>
    </r>
    <r>
      <rPr>
        <sz val="10"/>
        <color theme="1"/>
        <rFont val="Garamond"/>
        <family val="1"/>
        <charset val="238"/>
      </rPr>
      <t>munkaszámról tanszékekre</t>
    </r>
  </si>
  <si>
    <r>
      <t xml:space="preserve">Átoktatás átvétel, támogatás felosztása </t>
    </r>
    <r>
      <rPr>
        <b/>
        <sz val="10"/>
        <color theme="1"/>
        <rFont val="Garamond"/>
        <family val="1"/>
        <charset val="238"/>
      </rPr>
      <t>általános</t>
    </r>
    <r>
      <rPr>
        <sz val="10"/>
        <color theme="1"/>
        <rFont val="Garamond"/>
        <family val="1"/>
        <charset val="238"/>
      </rPr>
      <t xml:space="preserve"> munkaszámról tanszékekre</t>
    </r>
  </si>
  <si>
    <r>
      <t xml:space="preserve">Átoktatás átvétel, önköltséges bevétel felosztása </t>
    </r>
    <r>
      <rPr>
        <b/>
        <sz val="10"/>
        <color theme="1"/>
        <rFont val="Garamond"/>
        <family val="1"/>
        <charset val="238"/>
      </rPr>
      <t xml:space="preserve">általános </t>
    </r>
    <r>
      <rPr>
        <sz val="10"/>
        <color theme="1"/>
        <rFont val="Garamond"/>
        <family val="1"/>
        <charset val="238"/>
      </rPr>
      <t>munkaszámról tanszékekre</t>
    </r>
  </si>
  <si>
    <r>
      <rPr>
        <b/>
        <sz val="10"/>
        <color theme="1"/>
        <rFont val="Garamond"/>
        <family val="1"/>
        <charset val="238"/>
      </rPr>
      <t>Egyéb finanszírozású képzési bevétel</t>
    </r>
    <r>
      <rPr>
        <sz val="10"/>
        <color theme="1"/>
        <rFont val="Garamond"/>
        <family val="1"/>
        <charset val="238"/>
      </rPr>
      <t xml:space="preserve"> felosztása általános munkaszámról tanszékekre</t>
    </r>
  </si>
  <si>
    <r>
      <t xml:space="preserve">Átoktatás átvétel, </t>
    </r>
    <r>
      <rPr>
        <b/>
        <sz val="10"/>
        <color theme="1"/>
        <rFont val="Garamond"/>
        <family val="1"/>
        <charset val="238"/>
      </rPr>
      <t>egyéb finanszírozású bevétel</t>
    </r>
    <r>
      <rPr>
        <sz val="10"/>
        <color theme="1"/>
        <rFont val="Garamond"/>
        <family val="1"/>
        <charset val="238"/>
      </rPr>
      <t xml:space="preserve"> felosztása általános munkaszámról tanszékekre</t>
    </r>
  </si>
  <si>
    <t>SSZ</t>
  </si>
  <si>
    <t>Költségvetési tervezési egységek</t>
  </si>
  <si>
    <t>Munkaszám besorolás 
(funkcióterület alapján szűrendő)</t>
  </si>
  <si>
    <t>Alapilletmény</t>
  </si>
  <si>
    <t>Kompenzáció</t>
  </si>
  <si>
    <t>Kereset-, illetmény kiegészítés</t>
  </si>
  <si>
    <t>Pótlékok, helyettesítési díjak</t>
  </si>
  <si>
    <t>Béren kívüli juttatás, BANKI KLTS</t>
  </si>
  <si>
    <t>Munkábajárás költségtérítése</t>
  </si>
  <si>
    <t>Megbízási díjak</t>
  </si>
  <si>
    <t>Hallgatói, doktoranduszi, munkadíj</t>
  </si>
  <si>
    <t>Jutalom</t>
  </si>
  <si>
    <t>Jubileumi jutalom</t>
  </si>
  <si>
    <t>Jogviszony megszűnésével összefüggő juttatások</t>
  </si>
  <si>
    <t>Egyéb juttatások LEKT. SZÁLLÁST.</t>
  </si>
  <si>
    <t>SZOCHO</t>
  </si>
  <si>
    <t>REHAB</t>
  </si>
  <si>
    <t>Munkáltatót terhelő közterhek</t>
  </si>
  <si>
    <t>Bérek és közterhek  mindösszesen</t>
  </si>
  <si>
    <t>Előzőből LEKTORI KERET terhére történő kifizetések</t>
  </si>
  <si>
    <t>Előzőből KÖLTSÉGVETÉS terhére történő kifizetések</t>
  </si>
  <si>
    <t>Munkaszám/ utalványkód</t>
  </si>
  <si>
    <t>Funkcióterület / körzet</t>
  </si>
  <si>
    <t>Név</t>
  </si>
  <si>
    <t>általános / szervezeti / képzési / céltámogatás / pályázat / üzemeltetési-fenntartási</t>
  </si>
  <si>
    <t>Oktatási-kutatási egységek összesen</t>
  </si>
  <si>
    <t>C131SANYI</t>
  </si>
  <si>
    <t>C1201</t>
  </si>
  <si>
    <t>Angol Tanszék</t>
  </si>
  <si>
    <t>szervezeti</t>
  </si>
  <si>
    <t>K04801/17</t>
  </si>
  <si>
    <t>lektori</t>
  </si>
  <si>
    <t>C131SNNYI</t>
  </si>
  <si>
    <t>C1202</t>
  </si>
  <si>
    <t>Német Tanszék</t>
  </si>
  <si>
    <t>C131SMIRT</t>
  </si>
  <si>
    <t>C1203</t>
  </si>
  <si>
    <t>Magyar Irodalomt. Tanszék</t>
  </si>
  <si>
    <t>óraadói</t>
  </si>
  <si>
    <t>C131SMNYT</t>
  </si>
  <si>
    <t>C1204</t>
  </si>
  <si>
    <t>Magyar Nyelvt. Tanszék</t>
  </si>
  <si>
    <t>C131SVIZM</t>
  </si>
  <si>
    <t>C1205</t>
  </si>
  <si>
    <t>Vizuális M. Tanszék</t>
  </si>
  <si>
    <t>C131SSZLA</t>
  </si>
  <si>
    <t>C1206</t>
  </si>
  <si>
    <t>C131STORT</t>
  </si>
  <si>
    <t>C1207</t>
  </si>
  <si>
    <t>C131SZENE</t>
  </si>
  <si>
    <t>C1208</t>
  </si>
  <si>
    <t>Zeneped. Tanszék</t>
  </si>
  <si>
    <t>D131SBIOL</t>
  </si>
  <si>
    <t>D0671</t>
  </si>
  <si>
    <t>Biológia Tanszék</t>
  </si>
  <si>
    <t>D131SKEMT</t>
  </si>
  <si>
    <t>D0672</t>
  </si>
  <si>
    <t>D131SFOLD</t>
  </si>
  <si>
    <t>D0673</t>
  </si>
  <si>
    <t>D131SFIZT</t>
  </si>
  <si>
    <t>D0674</t>
  </si>
  <si>
    <t>D131SMATT</t>
  </si>
  <si>
    <t>D0675</t>
  </si>
  <si>
    <t>N14803/17</t>
  </si>
  <si>
    <t>N0636</t>
  </si>
  <si>
    <t>Igazgatói Hivatal</t>
  </si>
  <si>
    <t>D13101/17</t>
  </si>
  <si>
    <t>S0000</t>
  </si>
  <si>
    <t>Általános munkaszám</t>
  </si>
  <si>
    <t>tanító(óraadó és mentor)</t>
  </si>
  <si>
    <t>Kari hivatalok és kari gazda alatti egyéb belső feladatok összesen</t>
  </si>
  <si>
    <t>Egyedi tervezési egységhez nem rendelt vagy több tervezési egységhez tartozó elszámolás-köteles források összesen</t>
  </si>
  <si>
    <t>…</t>
  </si>
  <si>
    <t>Elszámolás köteles forrás 1</t>
  </si>
  <si>
    <t>céltámogatás</t>
  </si>
  <si>
    <t>Elszámolás köteles forrás 2</t>
  </si>
  <si>
    <t>pályázat</t>
  </si>
  <si>
    <t>Elszámolás köteles forrás 3</t>
  </si>
  <si>
    <t>Kari gazdán üzemeltetési-fenntartási kiadások összesen</t>
  </si>
  <si>
    <t>üzemeltetési-fenntartási</t>
  </si>
  <si>
    <t>Pályázatok</t>
  </si>
  <si>
    <t>BDPK összesen</t>
  </si>
  <si>
    <t>7. melléklet - Berzsenyi Dániel Pedagógusképző Kar /Szombathely/ 2023. évi működési kockázatainak felmérése</t>
  </si>
  <si>
    <t>Legfőbb kockázati tényezők
felsorolása</t>
  </si>
  <si>
    <t>Súlyozás indoka a lehetséges hatás mértéke alapján</t>
  </si>
  <si>
    <t>Alacsony
1</t>
  </si>
  <si>
    <t xml:space="preserve">
2</t>
  </si>
  <si>
    <t>Közepes
3</t>
  </si>
  <si>
    <t xml:space="preserve">
4</t>
  </si>
  <si>
    <t>Magas
5</t>
  </si>
  <si>
    <t>Tervezett intézkedés a kockázat mérséklésére</t>
  </si>
  <si>
    <t xml:space="preserve">1. </t>
  </si>
  <si>
    <t>Hallgatói létszám csökkenése</t>
  </si>
  <si>
    <t>demográfiai csökkenés, pedagógus életpálya reputációjának csökkenése</t>
  </si>
  <si>
    <t>x</t>
  </si>
  <si>
    <t>folyamatos és irányított rekrutáció</t>
  </si>
  <si>
    <t xml:space="preserve">2. </t>
  </si>
  <si>
    <t>Oktatói utánpótlás problémái, pályázók hiánya, pedagógus életpálya népszerűtlensége</t>
  </si>
  <si>
    <t>Eltorzult oktatói korfa, minősített oktatók fele 10 éven belül nyugdíjba megy, jelenlegi feltételek fennálása esetén -bérezés és életpálya- mellett lehetelen megszervezni az utánpótlást</t>
  </si>
  <si>
    <t>Oktatóink bevonása a pedagógusképzés népszerűsítésébe, saját utánpótlás nevelés</t>
  </si>
  <si>
    <t xml:space="preserve">3. </t>
  </si>
  <si>
    <t>Oktatás minőségének veszélyeztetése a fennálló finanszírozási rendszer változatlansága esetén</t>
  </si>
  <si>
    <t>Jelenlegi finanszírozási rendszer fennállása esetén a dominánsan pedagógusképző egység esetében plusz, kiegészítő támogatások nélkül a normatív támogatás nem fedezi a legszükségesebb kiadásokat sem.</t>
  </si>
  <si>
    <t xml:space="preserve">4. </t>
  </si>
  <si>
    <t>Új pályázati források, más külső források bevonásának és elérhetőségének hiánya a pedagógusképzés területén</t>
  </si>
  <si>
    <t xml:space="preserve">5. </t>
  </si>
  <si>
    <t>Magas energiaköltségek</t>
  </si>
  <si>
    <t>Rugalmas oktatásszervezés</t>
  </si>
  <si>
    <t xml:space="preserve">6. </t>
  </si>
  <si>
    <t>Oktatáshoz szükséges dologi kiadások növekedése a piaci áremelkedés miatt</t>
  </si>
  <si>
    <t>Mérsékelt, visszafogott, csak az oktatás színvonalának megtartásához szükséges évközi költések</t>
  </si>
  <si>
    <t>BEKÖVETKEZÉS VALÓSZÍNŰSÉGE, GYAKORISÁGA
(Alacsony, Közepes, Magas)</t>
  </si>
  <si>
    <t>A-M</t>
  </si>
  <si>
    <t>K-M            (1)</t>
  </si>
  <si>
    <t>M-M           (2,5)</t>
  </si>
  <si>
    <t xml:space="preserve">A-K
</t>
  </si>
  <si>
    <t>K-K             (3)</t>
  </si>
  <si>
    <t xml:space="preserve">M-K             (4)          </t>
  </si>
  <si>
    <t>A-A</t>
  </si>
  <si>
    <t>K-A              (6)</t>
  </si>
  <si>
    <t>M-A</t>
  </si>
  <si>
    <t>EGYETEMRE GYAKOROLT HATÁS MÉRTÉKE
(Alacsony, Közepes, Magas)</t>
  </si>
  <si>
    <t>Hiánnyal rendelkező egységek:</t>
  </si>
  <si>
    <t>Pozitív egyenleggel rendelkező egységek:</t>
  </si>
  <si>
    <t>Előre láthatóan nincsenek pályázati források és a gazdasági szereplők sem tartják elsődlegesnek a pedagógusképzés támogatását</t>
  </si>
  <si>
    <t>Tanszéki egyenlegek</t>
  </si>
  <si>
    <t>Intézkedések</t>
  </si>
  <si>
    <t>Szenátus által elfogadott 2. a melléklet alapján tervezendő összegek</t>
  </si>
  <si>
    <t>Csökkentett összeg</t>
  </si>
  <si>
    <t>Megtakarítás</t>
  </si>
  <si>
    <t>2023. szeptember hónapjától a Savaria Kiválósági ösztöndíj megszűntetése</t>
  </si>
  <si>
    <t>Kari dologi kiadások csökkentése</t>
  </si>
  <si>
    <t>Kari kiválósági alap csökkentése</t>
  </si>
  <si>
    <t>2023. Intézkedési terv</t>
  </si>
  <si>
    <t>Oktatási egységek bevételei</t>
  </si>
  <si>
    <t>2023. évi forrásból fizetendő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</si>
</sst>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#,##0\ &quot;Ft&quot;;[Red]\-#,##0\ &quot;Ft&quot;"/>
    <numFmt numFmtId="43" formatCode="_-* #,##0.00_-;\-* #,##0.00_-;_-* &quot;-&quot;??_-;_-@_-"/>
    <numFmt numFmtId="164" formatCode="#,##0\ &quot;Ft&quot;"/>
  </numFmts>
  <fonts count="23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rgb="FF000000"/>
      <name val="Garamond"/>
      <family val="1"/>
      <charset val="238"/>
    </font>
    <font>
      <b/>
      <sz val="10"/>
      <color rgb="FF000000"/>
      <name val="Garamond"/>
      <family val="1"/>
      <charset val="238"/>
    </font>
    <font>
      <sz val="10"/>
      <name val="Arial"/>
      <family val="2"/>
      <charset val="238"/>
    </font>
    <font>
      <b/>
      <sz val="10"/>
      <name val="Garamond"/>
      <family val="1"/>
      <charset val="238"/>
    </font>
    <font>
      <sz val="10"/>
      <name val="Arial"/>
      <family val="2"/>
      <charset val="238"/>
    </font>
    <font>
      <b/>
      <sz val="12"/>
      <name val="Garamond"/>
      <family val="1"/>
      <charset val="238"/>
    </font>
    <font>
      <sz val="11"/>
      <name val="Garamond"/>
      <family val="1"/>
      <charset val="238"/>
    </font>
    <font>
      <b/>
      <sz val="10"/>
      <color rgb="FFF2F2F2"/>
      <name val="Garamond"/>
      <family val="1"/>
      <charset val="238"/>
    </font>
    <font>
      <b/>
      <sz val="10"/>
      <color rgb="FFFFFFFF"/>
      <name val="Garamond"/>
      <family val="1"/>
      <charset val="238"/>
    </font>
    <font>
      <b/>
      <sz val="11"/>
      <name val="Garamond"/>
      <family val="1"/>
      <charset val="238"/>
    </font>
    <font>
      <b/>
      <sz val="14"/>
      <name val="Garamond"/>
      <family val="1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color theme="1"/>
      <name val="Garamond"/>
      <family val="1"/>
      <charset val="238"/>
    </font>
    <font>
      <b/>
      <sz val="16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Down"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</cellStyleXfs>
  <cellXfs count="443">
    <xf numFmtId="0" fontId="0" fillId="0" borderId="0" xfId="0" applyAlignment="1">
      <alignment vertical="top"/>
    </xf>
    <xf numFmtId="3" fontId="3" fillId="2" borderId="1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3" fontId="0" fillId="0" borderId="0" xfId="0" applyNumberFormat="1"/>
    <xf numFmtId="0" fontId="0" fillId="0" borderId="0" xfId="0" applyFill="1"/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" fontId="0" fillId="0" borderId="0" xfId="0" applyNumberFormat="1" applyAlignment="1">
      <alignment vertical="top"/>
    </xf>
    <xf numFmtId="0" fontId="5" fillId="2" borderId="25" xfId="0" applyFont="1" applyFill="1" applyBorder="1" applyAlignment="1">
      <alignment horizontal="justify" vertical="center"/>
    </xf>
    <xf numFmtId="3" fontId="4" fillId="0" borderId="18" xfId="0" applyNumberFormat="1" applyFont="1" applyFill="1" applyBorder="1" applyAlignment="1">
      <alignment horizontal="right" vertical="center"/>
    </xf>
    <xf numFmtId="3" fontId="5" fillId="3" borderId="5" xfId="0" applyNumberFormat="1" applyFont="1" applyFill="1" applyBorder="1" applyAlignment="1">
      <alignment horizontal="right" vertical="center"/>
    </xf>
    <xf numFmtId="0" fontId="4" fillId="0" borderId="7" xfId="0" applyFont="1" applyBorder="1" applyAlignment="1">
      <alignment horizontal="justify" vertical="center"/>
    </xf>
    <xf numFmtId="0" fontId="4" fillId="0" borderId="10" xfId="0" applyFont="1" applyBorder="1" applyAlignment="1">
      <alignment horizontal="justify" vertical="center"/>
    </xf>
    <xf numFmtId="0" fontId="5" fillId="2" borderId="3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vertical="center"/>
    </xf>
    <xf numFmtId="0" fontId="12" fillId="5" borderId="8" xfId="0" applyFont="1" applyFill="1" applyBorder="1" applyAlignment="1">
      <alignment horizontal="justify" vertical="center"/>
    </xf>
    <xf numFmtId="0" fontId="12" fillId="5" borderId="31" xfId="0" applyFont="1" applyFill="1" applyBorder="1" applyAlignment="1">
      <alignment horizontal="justify" vertical="center"/>
    </xf>
    <xf numFmtId="0" fontId="12" fillId="5" borderId="24" xfId="0" applyFont="1" applyFill="1" applyBorder="1" applyAlignment="1">
      <alignment horizontal="justify" vertical="center"/>
    </xf>
    <xf numFmtId="0" fontId="7" fillId="0" borderId="20" xfId="0" applyFont="1" applyBorder="1" applyAlignment="1">
      <alignment horizontal="justify" vertical="center"/>
    </xf>
    <xf numFmtId="3" fontId="7" fillId="0" borderId="21" xfId="0" applyNumberFormat="1" applyFont="1" applyBorder="1" applyAlignment="1">
      <alignment vertical="center"/>
    </xf>
    <xf numFmtId="0" fontId="11" fillId="4" borderId="22" xfId="0" applyFont="1" applyFill="1" applyBorder="1" applyAlignment="1">
      <alignment horizontal="justify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top"/>
    </xf>
    <xf numFmtId="0" fontId="4" fillId="0" borderId="37" xfId="0" applyFont="1" applyBorder="1" applyAlignment="1">
      <alignment horizontal="justify" vertical="center"/>
    </xf>
    <xf numFmtId="0" fontId="4" fillId="0" borderId="38" xfId="0" applyFont="1" applyBorder="1" applyAlignment="1">
      <alignment horizontal="justify" vertical="center"/>
    </xf>
    <xf numFmtId="0" fontId="0" fillId="0" borderId="0" xfId="0" applyAlignment="1">
      <alignment horizontal="right" vertical="top"/>
    </xf>
    <xf numFmtId="3" fontId="2" fillId="0" borderId="38" xfId="0" applyNumberFormat="1" applyFont="1" applyBorder="1" applyAlignment="1">
      <alignment horizontal="right" vertical="center"/>
    </xf>
    <xf numFmtId="3" fontId="7" fillId="3" borderId="38" xfId="0" applyNumberFormat="1" applyFont="1" applyFill="1" applyBorder="1" applyAlignment="1">
      <alignment horizontal="right" vertical="center" wrapText="1"/>
    </xf>
    <xf numFmtId="0" fontId="4" fillId="0" borderId="38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10" fillId="0" borderId="8" xfId="0" applyFont="1" applyBorder="1" applyAlignment="1">
      <alignment horizontal="justify" vertical="center"/>
    </xf>
    <xf numFmtId="6" fontId="13" fillId="0" borderId="9" xfId="0" applyNumberFormat="1" applyFont="1" applyBorder="1" applyAlignment="1">
      <alignment horizontal="right" vertical="center"/>
    </xf>
    <xf numFmtId="0" fontId="10" fillId="0" borderId="31" xfId="0" applyFont="1" applyBorder="1" applyAlignment="1">
      <alignment horizontal="justify" vertical="center"/>
    </xf>
    <xf numFmtId="6" fontId="13" fillId="0" borderId="33" xfId="0" applyNumberFormat="1" applyFont="1" applyBorder="1" applyAlignment="1">
      <alignment horizontal="right" vertical="center"/>
    </xf>
    <xf numFmtId="0" fontId="10" fillId="0" borderId="24" xfId="0" applyFont="1" applyBorder="1" applyAlignment="1">
      <alignment horizontal="justify" vertical="center"/>
    </xf>
    <xf numFmtId="6" fontId="13" fillId="0" borderId="21" xfId="0" applyNumberFormat="1" applyFont="1" applyBorder="1" applyAlignment="1">
      <alignment horizontal="right" vertical="center"/>
    </xf>
    <xf numFmtId="0" fontId="10" fillId="0" borderId="17" xfId="0" applyFont="1" applyBorder="1" applyAlignment="1">
      <alignment horizontal="justify" vertical="center"/>
    </xf>
    <xf numFmtId="0" fontId="10" fillId="0" borderId="4" xfId="0" applyFont="1" applyBorder="1" applyAlignment="1">
      <alignment horizontal="right" vertical="top"/>
    </xf>
    <xf numFmtId="6" fontId="13" fillId="0" borderId="36" xfId="0" applyNumberFormat="1" applyFont="1" applyBorder="1" applyAlignment="1">
      <alignment horizontal="right" vertical="center"/>
    </xf>
    <xf numFmtId="0" fontId="13" fillId="6" borderId="22" xfId="0" applyFont="1" applyFill="1" applyBorder="1" applyAlignment="1">
      <alignment horizontal="justify" vertical="center"/>
    </xf>
    <xf numFmtId="0" fontId="13" fillId="6" borderId="23" xfId="0" applyFont="1" applyFill="1" applyBorder="1" applyAlignment="1">
      <alignment horizontal="center" vertical="top"/>
    </xf>
    <xf numFmtId="0" fontId="13" fillId="6" borderId="27" xfId="0" applyFont="1" applyFill="1" applyBorder="1" applyAlignment="1">
      <alignment horizontal="center" vertical="top"/>
    </xf>
    <xf numFmtId="0" fontId="10" fillId="0" borderId="24" xfId="0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vertical="top"/>
    </xf>
    <xf numFmtId="3" fontId="14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3" fontId="0" fillId="0" borderId="0" xfId="0" applyNumberFormat="1" applyAlignment="1">
      <alignment vertical="center"/>
    </xf>
    <xf numFmtId="0" fontId="13" fillId="0" borderId="0" xfId="0" applyFont="1" applyFill="1" applyBorder="1" applyAlignment="1">
      <alignment vertical="center"/>
    </xf>
    <xf numFmtId="3" fontId="13" fillId="0" borderId="20" xfId="0" applyNumberFormat="1" applyFont="1" applyBorder="1" applyAlignment="1">
      <alignment horizontal="center" vertical="center" wrapText="1"/>
    </xf>
    <xf numFmtId="3" fontId="13" fillId="0" borderId="28" xfId="0" applyNumberFormat="1" applyFont="1" applyBorder="1" applyAlignment="1">
      <alignment horizontal="center" vertical="center" wrapText="1"/>
    </xf>
    <xf numFmtId="0" fontId="0" fillId="0" borderId="0" xfId="0" applyFill="1" applyBorder="1" applyAlignment="1">
      <alignment vertical="top"/>
    </xf>
    <xf numFmtId="0" fontId="13" fillId="0" borderId="8" xfId="0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3" fontId="10" fillId="0" borderId="29" xfId="0" applyNumberFormat="1" applyFont="1" applyBorder="1" applyAlignment="1">
      <alignment vertical="center"/>
    </xf>
    <xf numFmtId="0" fontId="1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3" fontId="10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top"/>
    </xf>
    <xf numFmtId="3" fontId="13" fillId="0" borderId="44" xfId="0" applyNumberFormat="1" applyFont="1" applyBorder="1" applyAlignment="1">
      <alignment horizontal="center" vertical="center" wrapText="1"/>
    </xf>
    <xf numFmtId="0" fontId="10" fillId="8" borderId="14" xfId="0" applyFont="1" applyFill="1" applyBorder="1" applyAlignment="1">
      <alignment vertical="center"/>
    </xf>
    <xf numFmtId="3" fontId="13" fillId="0" borderId="15" xfId="0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vertical="center"/>
    </xf>
    <xf numFmtId="3" fontId="10" fillId="0" borderId="32" xfId="0" applyNumberFormat="1" applyFont="1" applyBorder="1" applyAlignment="1">
      <alignment vertical="center"/>
    </xf>
    <xf numFmtId="3" fontId="10" fillId="0" borderId="45" xfId="0" applyNumberFormat="1" applyFont="1" applyBorder="1" applyAlignment="1">
      <alignment vertical="center"/>
    </xf>
    <xf numFmtId="3" fontId="13" fillId="0" borderId="39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10" fillId="8" borderId="8" xfId="0" applyFont="1" applyFill="1" applyBorder="1" applyAlignment="1">
      <alignment vertical="center"/>
    </xf>
    <xf numFmtId="3" fontId="13" fillId="0" borderId="9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3" fillId="7" borderId="5" xfId="0" applyFont="1" applyFill="1" applyBorder="1" applyAlignment="1">
      <alignment horizontal="right" vertical="center"/>
    </xf>
    <xf numFmtId="3" fontId="13" fillId="0" borderId="18" xfId="0" applyNumberFormat="1" applyFont="1" applyBorder="1" applyAlignment="1">
      <alignment horizontal="right" vertical="center"/>
    </xf>
    <xf numFmtId="3" fontId="13" fillId="0" borderId="4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13" fillId="8" borderId="1" xfId="0" applyFont="1" applyFill="1" applyBorder="1" applyAlignment="1">
      <alignment vertical="center"/>
    </xf>
    <xf numFmtId="3" fontId="13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top"/>
    </xf>
    <xf numFmtId="0" fontId="13" fillId="8" borderId="32" xfId="0" applyFont="1" applyFill="1" applyBorder="1" applyAlignment="1">
      <alignment vertical="center"/>
    </xf>
    <xf numFmtId="3" fontId="10" fillId="0" borderId="3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top"/>
    </xf>
    <xf numFmtId="3" fontId="6" fillId="0" borderId="1" xfId="0" applyNumberFormat="1" applyFont="1" applyBorder="1" applyAlignment="1">
      <alignment vertical="top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0" fontId="5" fillId="2" borderId="13" xfId="0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3" fontId="7" fillId="0" borderId="46" xfId="0" applyNumberFormat="1" applyFont="1" applyBorder="1" applyAlignment="1">
      <alignment vertical="center"/>
    </xf>
    <xf numFmtId="3" fontId="7" fillId="7" borderId="21" xfId="0" applyNumberFormat="1" applyFont="1" applyFill="1" applyBorder="1" applyAlignment="1">
      <alignment vertical="center"/>
    </xf>
    <xf numFmtId="0" fontId="7" fillId="7" borderId="1" xfId="0" applyFont="1" applyFill="1" applyBorder="1" applyAlignment="1">
      <alignment horizontal="justify" vertical="center"/>
    </xf>
    <xf numFmtId="0" fontId="7" fillId="7" borderId="8" xfId="0" applyFont="1" applyFill="1" applyBorder="1" applyAlignment="1">
      <alignment horizontal="justify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justify" vertical="center"/>
    </xf>
    <xf numFmtId="0" fontId="0" fillId="0" borderId="0" xfId="0" applyAlignment="1">
      <alignment horizontal="right" vertical="center"/>
    </xf>
    <xf numFmtId="0" fontId="10" fillId="0" borderId="11" xfId="0" applyFont="1" applyBorder="1" applyAlignment="1">
      <alignment horizontal="justify" vertical="center"/>
    </xf>
    <xf numFmtId="6" fontId="13" fillId="0" borderId="12" xfId="0" applyNumberFormat="1" applyFont="1" applyBorder="1" applyAlignment="1">
      <alignment horizontal="right" vertical="center"/>
    </xf>
    <xf numFmtId="6" fontId="13" fillId="0" borderId="1" xfId="0" applyNumberFormat="1" applyFont="1" applyFill="1" applyBorder="1" applyAlignment="1">
      <alignment horizontal="right" vertical="center"/>
    </xf>
    <xf numFmtId="6" fontId="13" fillId="0" borderId="20" xfId="0" applyNumberFormat="1" applyFont="1" applyFill="1" applyBorder="1" applyAlignment="1">
      <alignment horizontal="right" vertical="center"/>
    </xf>
    <xf numFmtId="6" fontId="13" fillId="0" borderId="3" xfId="0" applyNumberFormat="1" applyFont="1" applyFill="1" applyBorder="1" applyAlignment="1">
      <alignment horizontal="right" vertical="center"/>
    </xf>
    <xf numFmtId="6" fontId="13" fillId="0" borderId="32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6" fontId="0" fillId="0" borderId="0" xfId="0" applyNumberFormat="1" applyAlignment="1">
      <alignment vertical="top"/>
    </xf>
    <xf numFmtId="3" fontId="13" fillId="0" borderId="9" xfId="0" applyNumberFormat="1" applyFont="1" applyBorder="1" applyAlignment="1">
      <alignment horizontal="center" vertical="center"/>
    </xf>
    <xf numFmtId="3" fontId="13" fillId="0" borderId="33" xfId="0" applyNumberFormat="1" applyFont="1" applyBorder="1" applyAlignment="1">
      <alignment horizontal="center" vertical="center"/>
    </xf>
    <xf numFmtId="0" fontId="13" fillId="7" borderId="35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3" fontId="13" fillId="0" borderId="51" xfId="0" applyNumberFormat="1" applyFont="1" applyBorder="1" applyAlignment="1">
      <alignment horizontal="center" vertical="center" wrapText="1"/>
    </xf>
    <xf numFmtId="3" fontId="13" fillId="0" borderId="50" xfId="0" applyNumberFormat="1" applyFont="1" applyBorder="1" applyAlignment="1">
      <alignment horizontal="right" vertical="center"/>
    </xf>
    <xf numFmtId="3" fontId="13" fillId="0" borderId="52" xfId="0" applyNumberFormat="1" applyFont="1" applyBorder="1" applyAlignment="1">
      <alignment horizontal="right" vertical="center"/>
    </xf>
    <xf numFmtId="3" fontId="13" fillId="7" borderId="34" xfId="0" applyNumberFormat="1" applyFont="1" applyFill="1" applyBorder="1" applyAlignment="1">
      <alignment vertical="center" wrapText="1"/>
    </xf>
    <xf numFmtId="3" fontId="13" fillId="7" borderId="54" xfId="0" applyNumberFormat="1" applyFont="1" applyFill="1" applyBorder="1" applyAlignment="1">
      <alignment vertical="center" wrapText="1"/>
    </xf>
    <xf numFmtId="3" fontId="13" fillId="7" borderId="43" xfId="0" applyNumberFormat="1" applyFont="1" applyFill="1" applyBorder="1" applyAlignment="1">
      <alignment horizontal="center" vertical="center" wrapText="1"/>
    </xf>
    <xf numFmtId="0" fontId="13" fillId="8" borderId="14" xfId="0" applyFont="1" applyFill="1" applyBorder="1" applyAlignment="1">
      <alignment vertical="center"/>
    </xf>
    <xf numFmtId="3" fontId="13" fillId="0" borderId="35" xfId="0" applyNumberFormat="1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3" fontId="10" fillId="0" borderId="33" xfId="0" applyNumberFormat="1" applyFont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wrapText="1"/>
    </xf>
    <xf numFmtId="0" fontId="7" fillId="0" borderId="37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0" fillId="0" borderId="0" xfId="0" applyFill="1" applyAlignment="1">
      <alignment vertical="top"/>
    </xf>
    <xf numFmtId="3" fontId="7" fillId="2" borderId="13" xfId="0" applyNumberFormat="1" applyFont="1" applyFill="1" applyBorder="1" applyAlignment="1">
      <alignment horizontal="center" vertical="top"/>
    </xf>
    <xf numFmtId="3" fontId="7" fillId="7" borderId="56" xfId="0" applyNumberFormat="1" applyFont="1" applyFill="1" applyBorder="1" applyAlignment="1">
      <alignment horizontal="center" vertical="top"/>
    </xf>
    <xf numFmtId="0" fontId="7" fillId="0" borderId="32" xfId="0" applyFont="1" applyBorder="1" applyAlignment="1">
      <alignment horizontal="justify" vertical="center"/>
    </xf>
    <xf numFmtId="3" fontId="7" fillId="3" borderId="38" xfId="0" applyNumberFormat="1" applyFont="1" applyFill="1" applyBorder="1" applyAlignment="1">
      <alignment horizontal="right" wrapText="1"/>
    </xf>
    <xf numFmtId="0" fontId="5" fillId="2" borderId="55" xfId="0" applyFont="1" applyFill="1" applyBorder="1" applyAlignment="1">
      <alignment horizontal="center" vertical="center"/>
    </xf>
    <xf numFmtId="3" fontId="7" fillId="0" borderId="28" xfId="0" applyNumberFormat="1" applyFont="1" applyBorder="1" applyAlignment="1">
      <alignment vertical="center"/>
    </xf>
    <xf numFmtId="3" fontId="7" fillId="7" borderId="28" xfId="0" applyNumberFormat="1" applyFont="1" applyFill="1" applyBorder="1" applyAlignment="1">
      <alignment vertical="center"/>
    </xf>
    <xf numFmtId="3" fontId="7" fillId="0" borderId="60" xfId="0" applyNumberFormat="1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/>
    </xf>
    <xf numFmtId="3" fontId="7" fillId="0" borderId="18" xfId="0" applyNumberFormat="1" applyFont="1" applyBorder="1" applyAlignment="1">
      <alignment vertical="center"/>
    </xf>
    <xf numFmtId="3" fontId="2" fillId="7" borderId="18" xfId="0" applyNumberFormat="1" applyFont="1" applyFill="1" applyBorder="1" applyAlignment="1">
      <alignment vertical="center"/>
    </xf>
    <xf numFmtId="3" fontId="7" fillId="0" borderId="41" xfId="0" applyNumberFormat="1" applyFont="1" applyBorder="1" applyAlignment="1">
      <alignment vertical="center"/>
    </xf>
    <xf numFmtId="0" fontId="2" fillId="0" borderId="35" xfId="0" applyFont="1" applyBorder="1" applyAlignment="1">
      <alignment horizontal="left" vertical="center"/>
    </xf>
    <xf numFmtId="3" fontId="2" fillId="0" borderId="39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3" fontId="2" fillId="0" borderId="18" xfId="0" applyNumberFormat="1" applyFont="1" applyFill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3" fontId="2" fillId="0" borderId="41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3" fontId="2" fillId="0" borderId="19" xfId="0" applyNumberFormat="1" applyFont="1" applyFill="1" applyBorder="1" applyAlignment="1">
      <alignment vertical="center"/>
    </xf>
    <xf numFmtId="3" fontId="2" fillId="0" borderId="5" xfId="0" applyNumberFormat="1" applyFont="1" applyFill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3" fontId="2" fillId="0" borderId="16" xfId="0" applyNumberFormat="1" applyFont="1" applyFill="1" applyBorder="1" applyAlignment="1">
      <alignment vertical="center"/>
    </xf>
    <xf numFmtId="3" fontId="7" fillId="2" borderId="37" xfId="0" applyNumberFormat="1" applyFont="1" applyFill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39" xfId="0" applyNumberFormat="1" applyFont="1" applyBorder="1" applyAlignment="1">
      <alignment vertical="center"/>
    </xf>
    <xf numFmtId="3" fontId="2" fillId="0" borderId="18" xfId="0" applyNumberFormat="1" applyFont="1" applyBorder="1" applyAlignment="1">
      <alignment vertical="center"/>
    </xf>
    <xf numFmtId="3" fontId="2" fillId="0" borderId="41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0" fontId="7" fillId="0" borderId="1" xfId="0" applyFont="1" applyFill="1" applyBorder="1" applyAlignment="1">
      <alignment vertical="center"/>
    </xf>
    <xf numFmtId="3" fontId="7" fillId="0" borderId="21" xfId="0" applyNumberFormat="1" applyFont="1" applyFill="1" applyBorder="1" applyAlignment="1">
      <alignment vertical="center"/>
    </xf>
    <xf numFmtId="3" fontId="7" fillId="0" borderId="28" xfId="0" applyNumberFormat="1" applyFont="1" applyFill="1" applyBorder="1" applyAlignment="1">
      <alignment vertical="center"/>
    </xf>
    <xf numFmtId="3" fontId="7" fillId="0" borderId="18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justify" vertical="center" wrapText="1"/>
    </xf>
    <xf numFmtId="10" fontId="0" fillId="0" borderId="0" xfId="0" applyNumberFormat="1" applyFill="1" applyAlignment="1">
      <alignment vertical="top"/>
    </xf>
    <xf numFmtId="10" fontId="5" fillId="0" borderId="0" xfId="0" applyNumberFormat="1" applyFont="1" applyFill="1" applyBorder="1" applyAlignment="1">
      <alignment horizontal="center" vertical="center"/>
    </xf>
    <xf numFmtId="10" fontId="7" fillId="0" borderId="0" xfId="0" applyNumberFormat="1" applyFont="1" applyFill="1" applyBorder="1" applyAlignment="1">
      <alignment vertical="center"/>
    </xf>
    <xf numFmtId="10" fontId="2" fillId="0" borderId="0" xfId="0" applyNumberFormat="1" applyFont="1" applyFill="1" applyBorder="1" applyAlignment="1">
      <alignment vertical="center"/>
    </xf>
    <xf numFmtId="10" fontId="0" fillId="0" borderId="0" xfId="0" applyNumberFormat="1" applyFill="1" applyAlignment="1">
      <alignment vertical="center"/>
    </xf>
    <xf numFmtId="0" fontId="6" fillId="0" borderId="0" xfId="0" applyFont="1" applyAlignment="1">
      <alignment horizontal="right" vertical="top"/>
    </xf>
    <xf numFmtId="0" fontId="2" fillId="0" borderId="61" xfId="0" applyFont="1" applyBorder="1" applyAlignment="1">
      <alignment horizontal="left" vertical="center"/>
    </xf>
    <xf numFmtId="0" fontId="7" fillId="0" borderId="14" xfId="0" applyFont="1" applyBorder="1" applyAlignment="1">
      <alignment vertical="top"/>
    </xf>
    <xf numFmtId="164" fontId="7" fillId="0" borderId="35" xfId="0" applyNumberFormat="1" applyFont="1" applyBorder="1" applyAlignment="1">
      <alignment horizontal="right" vertical="center"/>
    </xf>
    <xf numFmtId="0" fontId="7" fillId="0" borderId="8" xfId="0" applyFont="1" applyBorder="1" applyAlignment="1">
      <alignment vertical="top"/>
    </xf>
    <xf numFmtId="164" fontId="7" fillId="0" borderId="9" xfId="0" applyNumberFormat="1" applyFont="1" applyBorder="1" applyAlignment="1">
      <alignment horizontal="right" vertical="center"/>
    </xf>
    <xf numFmtId="0" fontId="7" fillId="2" borderId="8" xfId="0" applyFont="1" applyFill="1" applyBorder="1" applyAlignment="1">
      <alignment vertical="top"/>
    </xf>
    <xf numFmtId="164" fontId="7" fillId="2" borderId="9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0" fillId="0" borderId="40" xfId="0" applyFont="1" applyBorder="1" applyAlignment="1">
      <alignment horizontal="left" vertical="center"/>
    </xf>
    <xf numFmtId="0" fontId="7" fillId="0" borderId="57" xfId="0" applyFont="1" applyBorder="1" applyAlignment="1">
      <alignment horizontal="center" vertical="center"/>
    </xf>
    <xf numFmtId="0" fontId="20" fillId="0" borderId="40" xfId="0" applyFont="1" applyBorder="1" applyAlignment="1">
      <alignment vertical="center" wrapText="1"/>
    </xf>
    <xf numFmtId="0" fontId="20" fillId="0" borderId="40" xfId="0" applyFont="1" applyBorder="1" applyAlignment="1">
      <alignment horizontal="left" vertical="center" wrapText="1"/>
    </xf>
    <xf numFmtId="0" fontId="7" fillId="0" borderId="58" xfId="0" applyFont="1" applyBorder="1" applyAlignment="1">
      <alignment horizontal="center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7" fillId="0" borderId="58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left" vertical="center" wrapText="1"/>
    </xf>
    <xf numFmtId="0" fontId="20" fillId="0" borderId="18" xfId="0" applyFont="1" applyBorder="1" applyAlignment="1">
      <alignment horizontal="left" vertical="center"/>
    </xf>
    <xf numFmtId="0" fontId="20" fillId="0" borderId="18" xfId="0" applyFont="1" applyBorder="1" applyAlignment="1">
      <alignment vertical="center"/>
    </xf>
    <xf numFmtId="0" fontId="7" fillId="0" borderId="59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/>
    </xf>
    <xf numFmtId="0" fontId="20" fillId="0" borderId="19" xfId="0" applyFont="1" applyBorder="1" applyAlignment="1">
      <alignment vertical="center"/>
    </xf>
    <xf numFmtId="0" fontId="20" fillId="2" borderId="8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0" fillId="2" borderId="9" xfId="0" applyFont="1" applyFill="1" applyBorder="1"/>
    <xf numFmtId="0" fontId="3" fillId="0" borderId="48" xfId="0" applyFont="1" applyBorder="1" applyAlignment="1">
      <alignment horizontal="center" vertical="center"/>
    </xf>
    <xf numFmtId="0" fontId="20" fillId="0" borderId="41" xfId="0" applyFont="1" applyBorder="1" applyAlignment="1">
      <alignment vertical="center"/>
    </xf>
    <xf numFmtId="0" fontId="20" fillId="0" borderId="37" xfId="0" applyFont="1" applyBorder="1" applyAlignment="1">
      <alignment horizontal="left" wrapText="1"/>
    </xf>
    <xf numFmtId="0" fontId="20" fillId="0" borderId="39" xfId="0" applyFont="1" applyBorder="1" applyAlignment="1">
      <alignment horizontal="left" vertical="center"/>
    </xf>
    <xf numFmtId="0" fontId="2" fillId="0" borderId="40" xfId="0" applyFont="1" applyBorder="1" applyAlignment="1">
      <alignment horizontal="lef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41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3" fontId="2" fillId="0" borderId="24" xfId="0" applyNumberFormat="1" applyFont="1" applyBorder="1"/>
    <xf numFmtId="3" fontId="2" fillId="0" borderId="20" xfId="0" applyNumberFormat="1" applyFont="1" applyBorder="1"/>
    <xf numFmtId="3" fontId="2" fillId="0" borderId="21" xfId="0" applyNumberFormat="1" applyFont="1" applyBorder="1"/>
    <xf numFmtId="3" fontId="2" fillId="0" borderId="1" xfId="0" applyNumberFormat="1" applyFont="1" applyBorder="1"/>
    <xf numFmtId="0" fontId="2" fillId="0" borderId="1" xfId="0" applyFont="1" applyBorder="1"/>
    <xf numFmtId="3" fontId="2" fillId="0" borderId="24" xfId="0" applyNumberFormat="1" applyFont="1" applyFill="1" applyBorder="1"/>
    <xf numFmtId="3" fontId="2" fillId="0" borderId="20" xfId="0" applyNumberFormat="1" applyFont="1" applyFill="1" applyBorder="1"/>
    <xf numFmtId="3" fontId="2" fillId="0" borderId="1" xfId="0" applyNumberFormat="1" applyFont="1" applyFill="1" applyBorder="1"/>
    <xf numFmtId="3" fontId="2" fillId="0" borderId="21" xfId="0" applyNumberFormat="1" applyFont="1" applyFill="1" applyBorder="1"/>
    <xf numFmtId="3" fontId="2" fillId="0" borderId="8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Fill="1" applyBorder="1"/>
    <xf numFmtId="3" fontId="2" fillId="0" borderId="31" xfId="0" applyNumberFormat="1" applyFont="1" applyFill="1" applyBorder="1"/>
    <xf numFmtId="3" fontId="2" fillId="0" borderId="32" xfId="0" applyNumberFormat="1" applyFont="1" applyFill="1" applyBorder="1"/>
    <xf numFmtId="3" fontId="2" fillId="0" borderId="65" xfId="0" applyNumberFormat="1" applyFont="1" applyFill="1" applyBorder="1"/>
    <xf numFmtId="3" fontId="2" fillId="0" borderId="33" xfId="0" applyNumberFormat="1" applyFont="1" applyFill="1" applyBorder="1"/>
    <xf numFmtId="0" fontId="2" fillId="0" borderId="4" xfId="0" applyFont="1" applyBorder="1"/>
    <xf numFmtId="3" fontId="2" fillId="0" borderId="4" xfId="0" applyNumberFormat="1" applyFont="1" applyBorder="1"/>
    <xf numFmtId="3" fontId="2" fillId="0" borderId="36" xfId="0" applyNumberFormat="1" applyFont="1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35" xfId="0" applyNumberFormat="1" applyFont="1" applyBorder="1"/>
    <xf numFmtId="0" fontId="2" fillId="0" borderId="32" xfId="0" applyFont="1" applyBorder="1"/>
    <xf numFmtId="3" fontId="2" fillId="0" borderId="32" xfId="0" applyNumberFormat="1" applyFont="1" applyBorder="1"/>
    <xf numFmtId="3" fontId="2" fillId="0" borderId="33" xfId="0" applyNumberFormat="1" applyFont="1" applyBorder="1"/>
    <xf numFmtId="0" fontId="2" fillId="0" borderId="20" xfId="0" applyFont="1" applyBorder="1"/>
    <xf numFmtId="0" fontId="2" fillId="0" borderId="3" xfId="0" applyFont="1" applyBorder="1"/>
    <xf numFmtId="3" fontId="2" fillId="0" borderId="3" xfId="0" applyNumberFormat="1" applyFont="1" applyBorder="1"/>
    <xf numFmtId="3" fontId="2" fillId="0" borderId="12" xfId="0" applyNumberFormat="1" applyFont="1" applyBorder="1"/>
    <xf numFmtId="0" fontId="3" fillId="2" borderId="6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vertical="center" wrapText="1"/>
    </xf>
    <xf numFmtId="3" fontId="3" fillId="9" borderId="22" xfId="0" applyNumberFormat="1" applyFont="1" applyFill="1" applyBorder="1"/>
    <xf numFmtId="3" fontId="3" fillId="9" borderId="23" xfId="0" applyNumberFormat="1" applyFont="1" applyFill="1" applyBorder="1"/>
    <xf numFmtId="3" fontId="3" fillId="9" borderId="27" xfId="0" applyNumberFormat="1" applyFont="1" applyFill="1" applyBorder="1"/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3" fillId="9" borderId="61" xfId="0" applyFont="1" applyFill="1" applyBorder="1" applyAlignment="1">
      <alignment vertical="center" wrapText="1"/>
    </xf>
    <xf numFmtId="0" fontId="3" fillId="9" borderId="4" xfId="0" applyFont="1" applyFill="1" applyBorder="1"/>
    <xf numFmtId="0" fontId="3" fillId="9" borderId="36" xfId="0" applyFont="1" applyFill="1" applyBorder="1"/>
    <xf numFmtId="0" fontId="20" fillId="0" borderId="8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20" fillId="0" borderId="63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3" fontId="3" fillId="9" borderId="4" xfId="0" applyNumberFormat="1" applyFont="1" applyFill="1" applyBorder="1"/>
    <xf numFmtId="3" fontId="3" fillId="9" borderId="36" xfId="0" applyNumberFormat="1" applyFont="1" applyFill="1" applyBorder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0" fillId="0" borderId="31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32" xfId="0" applyFont="1" applyBorder="1" applyAlignment="1">
      <alignment horizontal="left" vertical="center"/>
    </xf>
    <xf numFmtId="0" fontId="7" fillId="9" borderId="6" xfId="0" applyFont="1" applyFill="1" applyBorder="1" applyAlignment="1">
      <alignment vertical="center" wrapText="1"/>
    </xf>
    <xf numFmtId="0" fontId="3" fillId="9" borderId="23" xfId="0" applyFont="1" applyFill="1" applyBorder="1"/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left" vertical="center"/>
    </xf>
    <xf numFmtId="0" fontId="7" fillId="9" borderId="56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vertical="center" wrapText="1"/>
    </xf>
    <xf numFmtId="3" fontId="3" fillId="2" borderId="65" xfId="0" applyNumberFormat="1" applyFont="1" applyFill="1" applyBorder="1"/>
    <xf numFmtId="3" fontId="3" fillId="2" borderId="46" xfId="0" applyNumberFormat="1" applyFont="1" applyFill="1" applyBorder="1"/>
    <xf numFmtId="0" fontId="7" fillId="2" borderId="16" xfId="0" applyFont="1" applyFill="1" applyBorder="1" applyAlignment="1">
      <alignment horizontal="center" vertical="center" wrapText="1"/>
    </xf>
    <xf numFmtId="3" fontId="2" fillId="0" borderId="16" xfId="0" applyNumberFormat="1" applyFont="1" applyBorder="1" applyAlignment="1">
      <alignment vertical="center"/>
    </xf>
    <xf numFmtId="0" fontId="7" fillId="0" borderId="37" xfId="0" applyFont="1" applyBorder="1" applyAlignment="1">
      <alignment horizontal="center" vertical="center"/>
    </xf>
    <xf numFmtId="0" fontId="20" fillId="0" borderId="0" xfId="3" applyFont="1"/>
    <xf numFmtId="0" fontId="21" fillId="0" borderId="0" xfId="3" applyFont="1"/>
    <xf numFmtId="0" fontId="3" fillId="2" borderId="7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20" fillId="0" borderId="0" xfId="0" applyFont="1" applyAlignment="1">
      <alignment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71" xfId="0" applyFont="1" applyBorder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36" xfId="0" applyFont="1" applyBorder="1" applyAlignment="1">
      <alignment vertical="center" wrapText="1"/>
    </xf>
    <xf numFmtId="0" fontId="20" fillId="0" borderId="0" xfId="0" applyFont="1" applyAlignment="1">
      <alignment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70" xfId="0" applyFont="1" applyBorder="1" applyAlignment="1">
      <alignment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27" xfId="0" applyFont="1" applyBorder="1" applyAlignment="1">
      <alignment vertical="center" wrapText="1"/>
    </xf>
    <xf numFmtId="0" fontId="20" fillId="0" borderId="23" xfId="0" applyFont="1" applyBorder="1" applyAlignment="1">
      <alignment vertical="center" wrapText="1"/>
    </xf>
    <xf numFmtId="0" fontId="20" fillId="2" borderId="27" xfId="0" applyFont="1" applyFill="1" applyBorder="1" applyAlignment="1">
      <alignment vertical="center" wrapText="1"/>
    </xf>
    <xf numFmtId="0" fontId="20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20" fillId="0" borderId="0" xfId="0" applyFont="1"/>
    <xf numFmtId="0" fontId="3" fillId="10" borderId="14" xfId="0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0" fontId="3" fillId="11" borderId="35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3" fillId="10" borderId="9" xfId="0" applyFont="1" applyFill="1" applyBorder="1" applyAlignment="1">
      <alignment horizontal="center" vertical="center" wrapText="1"/>
    </xf>
    <xf numFmtId="0" fontId="3" fillId="13" borderId="31" xfId="0" applyFont="1" applyFill="1" applyBorder="1" applyAlignment="1">
      <alignment horizontal="center" vertical="center" wrapText="1"/>
    </xf>
    <xf numFmtId="0" fontId="3" fillId="12" borderId="32" xfId="0" applyFont="1" applyFill="1" applyBorder="1" applyAlignment="1">
      <alignment horizontal="center" vertical="center" wrapText="1"/>
    </xf>
    <xf numFmtId="0" fontId="3" fillId="12" borderId="33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justify" vertical="center"/>
    </xf>
    <xf numFmtId="6" fontId="22" fillId="0" borderId="20" xfId="0" applyNumberFormat="1" applyFont="1" applyFill="1" applyBorder="1" applyAlignment="1">
      <alignment horizontal="right" vertical="center"/>
    </xf>
    <xf numFmtId="6" fontId="13" fillId="0" borderId="65" xfId="0" applyNumberFormat="1" applyFont="1" applyFill="1" applyBorder="1" applyAlignment="1">
      <alignment horizontal="right" vertical="center"/>
    </xf>
    <xf numFmtId="6" fontId="2" fillId="0" borderId="0" xfId="0" applyNumberFormat="1" applyFont="1" applyAlignment="1">
      <alignment vertical="top"/>
    </xf>
    <xf numFmtId="6" fontId="22" fillId="0" borderId="65" xfId="0" applyNumberFormat="1" applyFont="1" applyFill="1" applyBorder="1" applyAlignment="1">
      <alignment horizontal="right" vertical="center"/>
    </xf>
    <xf numFmtId="0" fontId="13" fillId="6" borderId="70" xfId="0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3" fontId="20" fillId="0" borderId="1" xfId="0" applyNumberFormat="1" applyFont="1" applyBorder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3" fillId="7" borderId="1" xfId="0" applyFont="1" applyFill="1" applyBorder="1" applyAlignment="1">
      <alignment vertical="center"/>
    </xf>
    <xf numFmtId="3" fontId="3" fillId="7" borderId="1" xfId="0" applyNumberFormat="1" applyFont="1" applyFill="1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top"/>
    </xf>
    <xf numFmtId="0" fontId="7" fillId="2" borderId="26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 vertical="top"/>
    </xf>
    <xf numFmtId="0" fontId="2" fillId="0" borderId="42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3" fontId="2" fillId="0" borderId="13" xfId="0" applyNumberFormat="1" applyFont="1" applyBorder="1" applyAlignment="1">
      <alignment vertical="center"/>
    </xf>
    <xf numFmtId="3" fontId="2" fillId="0" borderId="16" xfId="0" applyNumberFormat="1" applyFont="1" applyBorder="1" applyAlignment="1">
      <alignment vertical="center"/>
    </xf>
    <xf numFmtId="3" fontId="2" fillId="0" borderId="37" xfId="0" applyNumberFormat="1" applyFont="1" applyBorder="1" applyAlignment="1">
      <alignment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2" fontId="2" fillId="0" borderId="25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2" fontId="3" fillId="7" borderId="3" xfId="0" applyNumberFormat="1" applyFont="1" applyFill="1" applyBorder="1" applyAlignment="1">
      <alignment horizontal="center" vertical="center" wrapText="1"/>
    </xf>
    <xf numFmtId="2" fontId="3" fillId="7" borderId="20" xfId="0" applyNumberFormat="1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7" fillId="0" borderId="3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62" xfId="0" applyFont="1" applyBorder="1" applyAlignment="1">
      <alignment horizontal="left" vertical="center" wrapText="1"/>
    </xf>
    <xf numFmtId="2" fontId="2" fillId="0" borderId="26" xfId="0" applyNumberFormat="1" applyFont="1" applyBorder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3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7" fillId="2" borderId="42" xfId="0" applyFont="1" applyFill="1" applyBorder="1" applyAlignment="1">
      <alignment horizontal="center" vertical="top"/>
    </xf>
    <xf numFmtId="0" fontId="7" fillId="2" borderId="30" xfId="0" applyFont="1" applyFill="1" applyBorder="1" applyAlignment="1">
      <alignment horizontal="center" vertical="top"/>
    </xf>
    <xf numFmtId="0" fontId="7" fillId="2" borderId="43" xfId="0" applyFont="1" applyFill="1" applyBorder="1" applyAlignment="1">
      <alignment horizontal="center" vertical="top"/>
    </xf>
    <xf numFmtId="0" fontId="13" fillId="7" borderId="25" xfId="0" applyFont="1" applyFill="1" applyBorder="1" applyAlignment="1">
      <alignment horizontal="center" vertical="center"/>
    </xf>
    <xf numFmtId="0" fontId="13" fillId="7" borderId="26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3" fontId="13" fillId="7" borderId="54" xfId="0" applyNumberFormat="1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right" vertical="center"/>
    </xf>
    <xf numFmtId="3" fontId="3" fillId="2" borderId="15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3" fontId="3" fillId="2" borderId="49" xfId="0" applyNumberFormat="1" applyFont="1" applyFill="1" applyBorder="1" applyAlignment="1">
      <alignment horizontal="center" vertical="center" wrapText="1"/>
    </xf>
    <xf numFmtId="3" fontId="3" fillId="2" borderId="62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vertical="center" wrapText="1"/>
    </xf>
    <xf numFmtId="0" fontId="3" fillId="2" borderId="48" xfId="0" applyFont="1" applyFill="1" applyBorder="1" applyAlignment="1">
      <alignment vertical="center" wrapText="1"/>
    </xf>
    <xf numFmtId="0" fontId="3" fillId="2" borderId="38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3" fillId="2" borderId="39" xfId="0" applyNumberFormat="1" applyFont="1" applyFill="1" applyBorder="1" applyAlignment="1">
      <alignment horizontal="center" vertical="center" wrapText="1"/>
    </xf>
    <xf numFmtId="3" fontId="3" fillId="2" borderId="41" xfId="0" applyNumberFormat="1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vertical="center" wrapText="1"/>
    </xf>
    <xf numFmtId="0" fontId="7" fillId="9" borderId="23" xfId="0" applyFont="1" applyFill="1" applyBorder="1" applyAlignment="1">
      <alignment vertical="center" wrapText="1"/>
    </xf>
    <xf numFmtId="0" fontId="7" fillId="9" borderId="55" xfId="0" applyFont="1" applyFill="1" applyBorder="1" applyAlignment="1">
      <alignment vertical="center" wrapText="1"/>
    </xf>
    <xf numFmtId="0" fontId="3" fillId="9" borderId="63" xfId="0" applyFont="1" applyFill="1" applyBorder="1" applyAlignment="1">
      <alignment vertical="center" wrapText="1"/>
    </xf>
    <xf numFmtId="0" fontId="3" fillId="9" borderId="0" xfId="0" applyFont="1" applyFill="1" applyBorder="1" applyAlignment="1">
      <alignment vertical="center" wrapText="1"/>
    </xf>
    <xf numFmtId="0" fontId="3" fillId="9" borderId="61" xfId="0" applyFont="1" applyFill="1" applyBorder="1" applyAlignment="1">
      <alignment vertical="center" wrapText="1"/>
    </xf>
    <xf numFmtId="0" fontId="7" fillId="9" borderId="63" xfId="0" applyFont="1" applyFill="1" applyBorder="1" applyAlignment="1">
      <alignment horizontal="left" vertical="center" wrapText="1"/>
    </xf>
    <xf numFmtId="0" fontId="7" fillId="9" borderId="0" xfId="0" applyFont="1" applyFill="1" applyBorder="1" applyAlignment="1">
      <alignment horizontal="left" vertical="center" wrapText="1"/>
    </xf>
    <xf numFmtId="0" fontId="7" fillId="9" borderId="61" xfId="0" applyFont="1" applyFill="1" applyBorder="1" applyAlignment="1">
      <alignment horizontal="left" vertical="center" wrapText="1"/>
    </xf>
    <xf numFmtId="0" fontId="7" fillId="9" borderId="25" xfId="0" applyFont="1" applyFill="1" applyBorder="1" applyAlignment="1">
      <alignment vertical="center" wrapText="1"/>
    </xf>
    <xf numFmtId="0" fontId="7" fillId="9" borderId="2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vertical="center" wrapText="1"/>
    </xf>
    <xf numFmtId="3" fontId="3" fillId="2" borderId="69" xfId="0" applyNumberFormat="1" applyFont="1" applyFill="1" applyBorder="1" applyAlignment="1">
      <alignment horizontal="center" vertical="center" wrapText="1"/>
    </xf>
    <xf numFmtId="3" fontId="3" fillId="2" borderId="64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</cellXfs>
  <cellStyles count="4">
    <cellStyle name="Ezres 2" xfId="1"/>
    <cellStyle name="Ezres 3" xfId="2"/>
    <cellStyle name="Normál" xfId="0" builtinId="0"/>
    <cellStyle name="Normál 2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r>
              <a:rPr lang="hu-HU" sz="1000">
                <a:solidFill>
                  <a:schemeClr val="tx1"/>
                </a:solidFill>
                <a:latin typeface="Garamond" panose="02020404030301010803" pitchFamily="18" charset="0"/>
              </a:rPr>
              <a:t>Bevételek év szerinti leosztása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/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'21-22. táblázat'!$H$11</c:f>
              <c:strCache>
                <c:ptCount val="1"/>
                <c:pt idx="0">
                  <c:v>Támogatási bevétel</c:v>
                </c:pt>
              </c:strCache>
            </c:strRef>
          </c:tx>
          <c:spPr>
            <a:pattFill prst="pct60">
              <a:fgClr>
                <a:schemeClr val="bg2">
                  <a:lumMod val="25000"/>
                </a:schemeClr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pct60">
                <a:fgClr>
                  <a:schemeClr val="bg2">
                    <a:lumMod val="25000"/>
                  </a:schemeClr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20-494D-BE9A-D1CDA7E72497}"/>
              </c:ext>
            </c:extLst>
          </c:dPt>
          <c:cat>
            <c:numRef>
              <c:f>'21-22. táblázat'!$I$10:$K$10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'21-22. táblázat'!$I$11:$K$11</c:f>
              <c:numCache>
                <c:formatCode>#\ ##0\ "Ft"</c:formatCode>
                <c:ptCount val="3"/>
                <c:pt idx="0">
                  <c:v>352742432</c:v>
                </c:pt>
                <c:pt idx="1">
                  <c:v>382620171</c:v>
                </c:pt>
                <c:pt idx="2">
                  <c:v>401061586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20-494D-BE9A-D1CDA7E72497}"/>
            </c:ext>
          </c:extLst>
        </c:ser>
        <c:ser>
          <c:idx val="1"/>
          <c:order val="1"/>
          <c:tx>
            <c:strRef>
              <c:f>'21-22. táblázat'!$H$12</c:f>
              <c:strCache>
                <c:ptCount val="1"/>
                <c:pt idx="0">
                  <c:v>Önköltséges bevétel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noFill/>
            </a:ln>
            <a:effectLst/>
          </c:spPr>
          <c:invertIfNegative val="0"/>
          <c:cat>
            <c:numRef>
              <c:f>'21-22. táblázat'!$I$10:$K$10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'21-22. táblázat'!$I$12:$K$12</c:f>
              <c:numCache>
                <c:formatCode>#\ ##0\ "Ft"</c:formatCode>
                <c:ptCount val="3"/>
                <c:pt idx="0">
                  <c:v>53925172</c:v>
                </c:pt>
                <c:pt idx="1">
                  <c:v>51152721</c:v>
                </c:pt>
                <c:pt idx="2">
                  <c:v>59167227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20-494D-BE9A-D1CDA7E72497}"/>
            </c:ext>
          </c:extLst>
        </c:ser>
        <c:ser>
          <c:idx val="2"/>
          <c:order val="2"/>
          <c:tx>
            <c:strRef>
              <c:f>'21-22. táblázat'!$H$13</c:f>
              <c:strCache>
                <c:ptCount val="1"/>
                <c:pt idx="0">
                  <c:v>Egyéb bevétel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'21-22. táblázat'!$I$10:$K$10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'21-22. táblázat'!$I$13:$K$13</c:f>
              <c:numCache>
                <c:formatCode>#\ ##0\ "Ft"</c:formatCode>
                <c:ptCount val="3"/>
                <c:pt idx="0">
                  <c:v>5717125</c:v>
                </c:pt>
                <c:pt idx="1">
                  <c:v>3812873</c:v>
                </c:pt>
                <c:pt idx="2">
                  <c:v>4669208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20-494D-BE9A-D1CDA7E72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5310703"/>
        <c:axId val="175317359"/>
      </c:barChart>
      <c:catAx>
        <c:axId val="175310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175317359"/>
        <c:crosses val="autoZero"/>
        <c:auto val="1"/>
        <c:lblAlgn val="ctr"/>
        <c:lblOffset val="100"/>
        <c:noMultiLvlLbl val="0"/>
      </c:catAx>
      <c:valAx>
        <c:axId val="17531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0\ &quot;Ft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aramond" panose="02020404030301010803" pitchFamily="18" charset="0"/>
                <a:ea typeface="+mn-ea"/>
                <a:cs typeface="+mn-cs"/>
              </a:defRPr>
            </a:pPr>
            <a:endParaRPr lang="hu-HU"/>
          </a:p>
        </c:txPr>
        <c:crossAx val="175310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aramond" panose="02020404030301010803" pitchFamily="18" charset="0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624840</xdr:colOff>
      <xdr:row>15</xdr:row>
      <xdr:rowOff>3810</xdr:rowOff>
    </xdr:from>
    <xdr:to>
      <xdr:col>10</xdr:col>
      <xdr:colOff>853440</xdr:colOff>
      <xdr:row>27</xdr:row>
      <xdr:rowOff>57150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0"/>
  <sheetViews>
    <sheetView workbookViewId="0">
      <selection activeCell="B5" sqref="B5"/>
    </sheetView>
  </sheetViews>
  <sheetFormatPr defaultRowHeight="13.2" x14ac:dyDescent="0.25"/>
  <cols>
    <col min="1" max="1" width="6.33203125" customWidth="1"/>
    <col min="2" max="2" width="55" customWidth="1"/>
    <col min="3" max="3" width="10.6640625" bestFit="1" customWidth="1"/>
    <col min="4" max="4" width="11.6640625" bestFit="1" customWidth="1"/>
    <col min="5" max="5" width="11.6640625" customWidth="1"/>
    <col min="6" max="6" width="11.6640625" style="178" customWidth="1"/>
    <col min="7" max="7" width="10.109375" style="13" bestFit="1" customWidth="1"/>
    <col min="8" max="8" width="4.5546875" style="138" hidden="1" customWidth="1"/>
    <col min="9" max="9" width="13" hidden="1" customWidth="1"/>
    <col min="10" max="10" width="34.6640625" hidden="1" customWidth="1"/>
    <col min="11" max="11" width="10.5546875" hidden="1" customWidth="1"/>
    <col min="12" max="12" width="10.88671875" style="139" hidden="1" customWidth="1"/>
    <col min="13" max="13" width="10.33203125" hidden="1" customWidth="1"/>
    <col min="14" max="14" width="0" hidden="1" customWidth="1"/>
  </cols>
  <sheetData>
    <row r="1" spans="1:13" ht="12.75" customHeight="1" x14ac:dyDescent="0.25">
      <c r="A1" s="352" t="s">
        <v>140</v>
      </c>
      <c r="B1" s="352"/>
      <c r="C1" s="352"/>
      <c r="D1" s="352"/>
      <c r="E1" s="352"/>
    </row>
    <row r="2" spans="1:13" ht="12.75" customHeight="1" x14ac:dyDescent="0.25">
      <c r="A2" s="352"/>
      <c r="B2" s="352"/>
      <c r="C2" s="352"/>
      <c r="D2" s="352"/>
      <c r="E2" s="352"/>
    </row>
    <row r="4" spans="1:13" ht="13.8" thickBot="1" x14ac:dyDescent="0.3"/>
    <row r="5" spans="1:13" ht="13.8" thickBot="1" x14ac:dyDescent="0.3">
      <c r="A5" s="26"/>
      <c r="B5" s="106" t="s">
        <v>42</v>
      </c>
      <c r="C5" s="105" t="s">
        <v>103</v>
      </c>
      <c r="D5" s="144" t="s">
        <v>103</v>
      </c>
      <c r="E5" s="148" t="s">
        <v>120</v>
      </c>
      <c r="F5" s="179"/>
      <c r="G5"/>
      <c r="H5" s="344" t="s">
        <v>14</v>
      </c>
      <c r="I5" s="345"/>
      <c r="J5" s="346"/>
      <c r="K5" s="140" t="s">
        <v>103</v>
      </c>
      <c r="L5" s="140" t="s">
        <v>143</v>
      </c>
      <c r="M5" s="141" t="s">
        <v>120</v>
      </c>
    </row>
    <row r="6" spans="1:13" s="4" customFormat="1" ht="12.75" customHeight="1" x14ac:dyDescent="0.25">
      <c r="A6" s="23" t="s">
        <v>44</v>
      </c>
      <c r="B6" s="24" t="s">
        <v>45</v>
      </c>
      <c r="C6" s="25">
        <v>1015884925</v>
      </c>
      <c r="D6" s="145">
        <f>+L30</f>
        <v>1079983984.6318264</v>
      </c>
      <c r="E6" s="149">
        <f>+D6-C6</f>
        <v>64099059.631826401</v>
      </c>
      <c r="F6" s="180"/>
      <c r="H6" s="341" t="s">
        <v>64</v>
      </c>
      <c r="I6" s="347" t="s">
        <v>73</v>
      </c>
      <c r="J6" s="152" t="s">
        <v>52</v>
      </c>
      <c r="K6" s="153">
        <f>-183597963-41285197</f>
        <v>-224883160</v>
      </c>
      <c r="L6" s="153">
        <f>+-191715084-13384460</f>
        <v>-205099544</v>
      </c>
      <c r="M6" s="353">
        <f>(+K6+K7+K8-L6-L7-L8)*-1</f>
        <v>-1665921</v>
      </c>
    </row>
    <row r="7" spans="1:13" s="4" customFormat="1" x14ac:dyDescent="0.25">
      <c r="A7" s="21" t="s">
        <v>46</v>
      </c>
      <c r="B7" s="173" t="s">
        <v>136</v>
      </c>
      <c r="C7" s="174">
        <v>-254186244</v>
      </c>
      <c r="D7" s="175">
        <v>-276821713</v>
      </c>
      <c r="E7" s="176">
        <f t="shared" ref="E7:E11" si="0">+D7-C7</f>
        <v>-22635469</v>
      </c>
      <c r="F7" s="180"/>
      <c r="H7" s="342"/>
      <c r="I7" s="348"/>
      <c r="J7" s="154" t="s">
        <v>53</v>
      </c>
      <c r="K7" s="155">
        <f>501177117+112698392</f>
        <v>613875509</v>
      </c>
      <c r="L7" s="155">
        <f>553682094+38654944</f>
        <v>592337038</v>
      </c>
      <c r="M7" s="354"/>
    </row>
    <row r="8" spans="1:13" s="4" customFormat="1" ht="13.8" thickBot="1" x14ac:dyDescent="0.3">
      <c r="A8" s="21" t="s">
        <v>47</v>
      </c>
      <c r="B8" s="177" t="s">
        <v>8</v>
      </c>
      <c r="C8" s="174">
        <v>-744011547</v>
      </c>
      <c r="D8" s="175">
        <v>-872875218</v>
      </c>
      <c r="E8" s="176">
        <f t="shared" si="0"/>
        <v>-128863671</v>
      </c>
      <c r="F8" s="180"/>
      <c r="H8" s="343"/>
      <c r="I8" s="349"/>
      <c r="J8" s="156" t="s">
        <v>54</v>
      </c>
      <c r="K8" s="157">
        <f>9853504+2215732</f>
        <v>12069236</v>
      </c>
      <c r="L8" s="157">
        <f>11364748+793422</f>
        <v>12158170</v>
      </c>
      <c r="M8" s="355"/>
    </row>
    <row r="9" spans="1:13" s="4" customFormat="1" ht="12.75" customHeight="1" x14ac:dyDescent="0.25">
      <c r="A9" s="104" t="s">
        <v>48</v>
      </c>
      <c r="B9" s="103" t="s">
        <v>49</v>
      </c>
      <c r="C9" s="102">
        <f>SUM(C6:C8)+1</f>
        <v>17687135</v>
      </c>
      <c r="D9" s="146">
        <f>SUM(D6:D8)</f>
        <v>-69712946.368173599</v>
      </c>
      <c r="E9" s="150"/>
      <c r="F9" s="181"/>
      <c r="H9" s="341" t="s">
        <v>65</v>
      </c>
      <c r="I9" s="347" t="s">
        <v>74</v>
      </c>
      <c r="J9" s="152" t="s">
        <v>55</v>
      </c>
      <c r="K9" s="153">
        <v>-9687299</v>
      </c>
      <c r="L9" s="153">
        <v>-9668163</v>
      </c>
      <c r="M9" s="353">
        <f>+(K9+K10+K11-L9-L10-L11)*-1</f>
        <v>-1260885.7797201565</v>
      </c>
    </row>
    <row r="10" spans="1:13" s="4" customFormat="1" x14ac:dyDescent="0.25">
      <c r="A10" s="21" t="s">
        <v>50</v>
      </c>
      <c r="B10" s="20" t="s">
        <v>142</v>
      </c>
      <c r="C10" s="25"/>
      <c r="D10" s="145">
        <v>20000000</v>
      </c>
      <c r="E10" s="149">
        <f t="shared" si="0"/>
        <v>20000000</v>
      </c>
      <c r="F10" s="180"/>
      <c r="G10" s="57"/>
      <c r="H10" s="342"/>
      <c r="I10" s="348"/>
      <c r="J10" s="154" t="s">
        <v>56</v>
      </c>
      <c r="K10" s="155">
        <v>63565000</v>
      </c>
      <c r="L10" s="155">
        <v>61515000.00000003</v>
      </c>
      <c r="M10" s="354"/>
    </row>
    <row r="11" spans="1:13" s="4" customFormat="1" ht="13.8" thickBot="1" x14ac:dyDescent="0.3">
      <c r="A11" s="22" t="s">
        <v>51</v>
      </c>
      <c r="B11" s="142" t="s">
        <v>141</v>
      </c>
      <c r="C11" s="101"/>
      <c r="D11" s="147">
        <v>49712946</v>
      </c>
      <c r="E11" s="151">
        <f t="shared" si="0"/>
        <v>49712946</v>
      </c>
      <c r="F11" s="180"/>
      <c r="G11" s="57"/>
      <c r="H11" s="343"/>
      <c r="I11" s="349"/>
      <c r="J11" s="158" t="s">
        <v>57</v>
      </c>
      <c r="K11" s="159">
        <v>5289526</v>
      </c>
      <c r="L11" s="159">
        <v>6059504.2202798137</v>
      </c>
      <c r="M11" s="355"/>
    </row>
    <row r="12" spans="1:13" s="4" customFormat="1" ht="13.8" thickBot="1" x14ac:dyDescent="0.3">
      <c r="F12" s="182"/>
      <c r="G12" s="57"/>
      <c r="H12" s="136" t="s">
        <v>70</v>
      </c>
      <c r="I12" s="350" t="s">
        <v>58</v>
      </c>
      <c r="J12" s="351"/>
      <c r="K12" s="160">
        <v>-570048</v>
      </c>
      <c r="L12" s="160">
        <v>-616949</v>
      </c>
      <c r="M12" s="168">
        <f>+L12-K12</f>
        <v>-46901</v>
      </c>
    </row>
    <row r="13" spans="1:13" s="4" customFormat="1" ht="13.8" thickBot="1" x14ac:dyDescent="0.3">
      <c r="D13" s="57"/>
      <c r="E13" s="57"/>
      <c r="F13" s="182"/>
      <c r="G13" s="57"/>
      <c r="H13" s="118" t="s">
        <v>68</v>
      </c>
      <c r="I13" s="350" t="s">
        <v>59</v>
      </c>
      <c r="J13" s="351"/>
      <c r="K13" s="160">
        <v>11236729</v>
      </c>
      <c r="L13" s="160">
        <v>12231887</v>
      </c>
      <c r="M13" s="168">
        <f>+L13-K13</f>
        <v>995158</v>
      </c>
    </row>
    <row r="14" spans="1:13" s="4" customFormat="1" ht="13.8" thickBot="1" x14ac:dyDescent="0.3">
      <c r="F14" s="182"/>
      <c r="G14" s="57"/>
      <c r="H14" s="118" t="s">
        <v>66</v>
      </c>
      <c r="I14" s="350" t="s">
        <v>145</v>
      </c>
      <c r="J14" s="351"/>
      <c r="K14" s="160"/>
      <c r="L14" s="160">
        <v>12664788</v>
      </c>
      <c r="M14" s="168">
        <f t="shared" ref="M14:M29" si="1">+L14-K14</f>
        <v>12664788</v>
      </c>
    </row>
    <row r="15" spans="1:13" s="4" customFormat="1" ht="12.75" customHeight="1" thickBot="1" x14ac:dyDescent="0.3">
      <c r="D15" s="57"/>
      <c r="E15" s="57"/>
      <c r="F15" s="182"/>
      <c r="G15" s="57"/>
      <c r="H15" s="118" t="s">
        <v>71</v>
      </c>
      <c r="I15" s="350" t="s">
        <v>75</v>
      </c>
      <c r="J15" s="351"/>
      <c r="K15" s="160">
        <v>79837000</v>
      </c>
      <c r="L15" s="160">
        <v>79837000</v>
      </c>
      <c r="M15" s="168">
        <f t="shared" si="1"/>
        <v>0</v>
      </c>
    </row>
    <row r="16" spans="1:13" s="4" customFormat="1" ht="27" customHeight="1" x14ac:dyDescent="0.25">
      <c r="B16" s="57"/>
      <c r="F16" s="182"/>
      <c r="G16" s="57"/>
      <c r="H16" s="341" t="s">
        <v>67</v>
      </c>
      <c r="I16" s="363" t="s">
        <v>77</v>
      </c>
      <c r="J16" s="161" t="s">
        <v>133</v>
      </c>
      <c r="K16" s="153">
        <v>119305000</v>
      </c>
      <c r="L16" s="153">
        <v>119305000</v>
      </c>
      <c r="M16" s="169">
        <f t="shared" si="1"/>
        <v>0</v>
      </c>
    </row>
    <row r="17" spans="2:13" s="4" customFormat="1" x14ac:dyDescent="0.25">
      <c r="B17" s="57"/>
      <c r="F17" s="182"/>
      <c r="G17" s="57"/>
      <c r="H17" s="342"/>
      <c r="I17" s="364"/>
      <c r="J17" s="162" t="s">
        <v>144</v>
      </c>
      <c r="K17" s="155"/>
      <c r="L17" s="155">
        <v>89133393</v>
      </c>
      <c r="M17" s="170">
        <f t="shared" si="1"/>
        <v>89133393</v>
      </c>
    </row>
    <row r="18" spans="2:13" s="4" customFormat="1" ht="26.4" x14ac:dyDescent="0.25">
      <c r="B18" s="57"/>
      <c r="F18" s="182"/>
      <c r="G18" s="57"/>
      <c r="H18" s="342"/>
      <c r="I18" s="364"/>
      <c r="J18" s="163" t="s">
        <v>60</v>
      </c>
      <c r="K18" s="155">
        <f>10921812+191422</f>
        <v>11113234</v>
      </c>
      <c r="L18" s="155">
        <v>11582833</v>
      </c>
      <c r="M18" s="170">
        <f t="shared" si="1"/>
        <v>469599</v>
      </c>
    </row>
    <row r="19" spans="2:13" s="4" customFormat="1" x14ac:dyDescent="0.25">
      <c r="B19" s="57"/>
      <c r="F19" s="182"/>
      <c r="G19" s="57"/>
      <c r="H19" s="342"/>
      <c r="I19" s="364"/>
      <c r="J19" s="164" t="s">
        <v>98</v>
      </c>
      <c r="K19" s="155">
        <v>34531561</v>
      </c>
      <c r="L19" s="155">
        <v>20117060</v>
      </c>
      <c r="M19" s="170">
        <f t="shared" si="1"/>
        <v>-14414501</v>
      </c>
    </row>
    <row r="20" spans="2:13" s="4" customFormat="1" x14ac:dyDescent="0.25">
      <c r="B20" s="57"/>
      <c r="F20" s="182"/>
      <c r="G20" s="57"/>
      <c r="H20" s="342"/>
      <c r="I20" s="364"/>
      <c r="J20" s="164" t="s">
        <v>76</v>
      </c>
      <c r="K20" s="155">
        <v>8344436</v>
      </c>
      <c r="L20" s="155">
        <v>8344436</v>
      </c>
      <c r="M20" s="170">
        <f t="shared" si="1"/>
        <v>0</v>
      </c>
    </row>
    <row r="21" spans="2:13" s="4" customFormat="1" x14ac:dyDescent="0.25">
      <c r="B21" s="57"/>
      <c r="F21" s="182"/>
      <c r="G21" s="57"/>
      <c r="H21" s="342"/>
      <c r="I21" s="364"/>
      <c r="J21" s="164" t="s">
        <v>16</v>
      </c>
      <c r="K21" s="155">
        <v>3410456.8725195429</v>
      </c>
      <c r="L21" s="155">
        <v>3410456.8725195429</v>
      </c>
      <c r="M21" s="170">
        <f t="shared" si="1"/>
        <v>0</v>
      </c>
    </row>
    <row r="22" spans="2:13" s="4" customFormat="1" ht="13.8" thickBot="1" x14ac:dyDescent="0.3">
      <c r="B22" s="57"/>
      <c r="F22" s="182"/>
      <c r="G22" s="57"/>
      <c r="H22" s="343"/>
      <c r="I22" s="365"/>
      <c r="J22" s="165" t="s">
        <v>61</v>
      </c>
      <c r="K22" s="157">
        <v>21500000</v>
      </c>
      <c r="L22" s="157">
        <v>21500000</v>
      </c>
      <c r="M22" s="171">
        <f t="shared" si="1"/>
        <v>0</v>
      </c>
    </row>
    <row r="23" spans="2:13" s="4" customFormat="1" ht="13.5" customHeight="1" thickBot="1" x14ac:dyDescent="0.3">
      <c r="B23" s="57"/>
      <c r="F23" s="182"/>
      <c r="G23" s="57"/>
      <c r="H23" s="136" t="s">
        <v>69</v>
      </c>
      <c r="I23" s="361" t="s">
        <v>146</v>
      </c>
      <c r="J23" s="362"/>
      <c r="K23" s="160"/>
      <c r="L23" s="160">
        <v>26813049</v>
      </c>
      <c r="M23" s="168">
        <f t="shared" si="1"/>
        <v>26813049</v>
      </c>
    </row>
    <row r="24" spans="2:13" s="4" customFormat="1" ht="13.8" thickBot="1" x14ac:dyDescent="0.3">
      <c r="B24" s="57"/>
      <c r="F24" s="182"/>
      <c r="G24" s="57"/>
      <c r="H24" s="118" t="s">
        <v>72</v>
      </c>
      <c r="I24" s="350" t="s">
        <v>62</v>
      </c>
      <c r="J24" s="351"/>
      <c r="K24" s="166">
        <v>75586481</v>
      </c>
      <c r="L24" s="166">
        <v>54472128</v>
      </c>
      <c r="M24" s="172">
        <f t="shared" si="1"/>
        <v>-21114353</v>
      </c>
    </row>
    <row r="25" spans="2:13" s="4" customFormat="1" ht="13.95" customHeight="1" thickBot="1" x14ac:dyDescent="0.3">
      <c r="B25" s="57"/>
      <c r="F25" s="182"/>
      <c r="G25" s="57"/>
      <c r="H25" s="118" t="s">
        <v>122</v>
      </c>
      <c r="I25" s="350" t="s">
        <v>63</v>
      </c>
      <c r="J25" s="351"/>
      <c r="K25" s="160">
        <v>5239256</v>
      </c>
      <c r="L25" s="160">
        <v>3179246.5390269402</v>
      </c>
      <c r="M25" s="168">
        <f t="shared" si="1"/>
        <v>-2060009.4609730598</v>
      </c>
    </row>
    <row r="26" spans="2:13" s="4" customFormat="1" ht="24.75" customHeight="1" thickBot="1" x14ac:dyDescent="0.3">
      <c r="F26" s="182"/>
      <c r="G26" s="57"/>
      <c r="H26" s="118" t="s">
        <v>123</v>
      </c>
      <c r="I26" s="359" t="s">
        <v>175</v>
      </c>
      <c r="J26" s="360"/>
      <c r="K26" s="160">
        <v>6276491</v>
      </c>
      <c r="L26" s="160">
        <v>1967164</v>
      </c>
      <c r="M26" s="168">
        <f t="shared" si="1"/>
        <v>-4309327</v>
      </c>
    </row>
    <row r="27" spans="2:13" s="4" customFormat="1" ht="13.95" customHeight="1" thickBot="1" x14ac:dyDescent="0.3">
      <c r="F27" s="182"/>
      <c r="G27" s="57"/>
      <c r="H27" s="118" t="s">
        <v>124</v>
      </c>
      <c r="I27" s="359" t="s">
        <v>102</v>
      </c>
      <c r="J27" s="360"/>
      <c r="K27" s="160">
        <v>34091614</v>
      </c>
      <c r="L27" s="160"/>
      <c r="M27" s="168">
        <f t="shared" si="1"/>
        <v>-34091614</v>
      </c>
    </row>
    <row r="28" spans="2:13" s="4" customFormat="1" ht="13.5" customHeight="1" thickBot="1" x14ac:dyDescent="0.3">
      <c r="F28" s="182"/>
      <c r="G28" s="57"/>
      <c r="H28" s="118" t="s">
        <v>148</v>
      </c>
      <c r="I28" s="359" t="s">
        <v>121</v>
      </c>
      <c r="J28" s="360"/>
      <c r="K28" s="160">
        <f>32246232+113507670</f>
        <v>145753902</v>
      </c>
      <c r="L28" s="160">
        <v>158670985</v>
      </c>
      <c r="M28" s="168">
        <f t="shared" si="1"/>
        <v>12917083</v>
      </c>
    </row>
    <row r="29" spans="2:13" s="4" customFormat="1" ht="13.5" customHeight="1" thickBot="1" x14ac:dyDescent="0.3">
      <c r="F29" s="182"/>
      <c r="G29" s="57"/>
      <c r="H29" s="118" t="s">
        <v>149</v>
      </c>
      <c r="I29" s="359" t="s">
        <v>147</v>
      </c>
      <c r="J29" s="360"/>
      <c r="K29" s="160">
        <v>0</v>
      </c>
      <c r="L29" s="160">
        <v>69502</v>
      </c>
      <c r="M29" s="168">
        <f t="shared" si="1"/>
        <v>69502</v>
      </c>
    </row>
    <row r="30" spans="2:13" s="4" customFormat="1" ht="13.8" thickBot="1" x14ac:dyDescent="0.3">
      <c r="F30" s="182"/>
      <c r="G30" s="57"/>
      <c r="H30" s="356" t="s">
        <v>7</v>
      </c>
      <c r="I30" s="357"/>
      <c r="J30" s="358"/>
      <c r="K30" s="167">
        <f>SUM(K6:K29)</f>
        <v>1015884924.8725195</v>
      </c>
      <c r="L30" s="167">
        <f>SUM(L6:L29)</f>
        <v>1079983984.6318264</v>
      </c>
      <c r="M30" s="167">
        <f>+L30-K30</f>
        <v>64099059.759306908</v>
      </c>
    </row>
  </sheetData>
  <mergeCells count="22">
    <mergeCell ref="A1:E2"/>
    <mergeCell ref="M6:M8"/>
    <mergeCell ref="M9:M11"/>
    <mergeCell ref="H30:J30"/>
    <mergeCell ref="I9:I11"/>
    <mergeCell ref="H9:H11"/>
    <mergeCell ref="I25:J25"/>
    <mergeCell ref="I26:J26"/>
    <mergeCell ref="I27:J27"/>
    <mergeCell ref="I28:J28"/>
    <mergeCell ref="I13:J13"/>
    <mergeCell ref="I15:J15"/>
    <mergeCell ref="I24:J24"/>
    <mergeCell ref="I14:J14"/>
    <mergeCell ref="I23:J23"/>
    <mergeCell ref="I29:J29"/>
    <mergeCell ref="H16:H22"/>
    <mergeCell ref="H5:J5"/>
    <mergeCell ref="H6:H8"/>
    <mergeCell ref="I6:I8"/>
    <mergeCell ref="I12:J12"/>
    <mergeCell ref="I16:I22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tabSelected="1" workbookViewId="0">
      <selection activeCell="AE21" sqref="AE21"/>
    </sheetView>
  </sheetViews>
  <sheetFormatPr defaultRowHeight="13.2" x14ac:dyDescent="0.25"/>
  <cols>
    <col min="1" max="1" width="15" style="107" customWidth="1"/>
    <col min="3" max="3" width="22.88671875" bestFit="1" customWidth="1"/>
    <col min="5" max="20" width="0" hidden="1" customWidth="1"/>
    <col min="21" max="21" width="13.5546875" customWidth="1"/>
    <col min="22" max="22" width="10.109375" bestFit="1" customWidth="1"/>
    <col min="23" max="23" width="11.109375" bestFit="1" customWidth="1"/>
  </cols>
  <sheetData>
    <row r="1" spans="1:23" x14ac:dyDescent="0.25">
      <c r="A1" s="417"/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</row>
    <row r="2" spans="1:23" ht="13.8" thickBot="1" x14ac:dyDescent="0.3"/>
    <row r="3" spans="1:23" ht="97.5" customHeight="1" thickBot="1" x14ac:dyDescent="0.3">
      <c r="A3" s="409" t="s">
        <v>190</v>
      </c>
      <c r="B3" s="410"/>
      <c r="C3" s="411"/>
      <c r="D3" s="191" t="s">
        <v>191</v>
      </c>
      <c r="E3" s="412" t="s">
        <v>192</v>
      </c>
      <c r="F3" s="407" t="s">
        <v>193</v>
      </c>
      <c r="G3" s="407" t="s">
        <v>194</v>
      </c>
      <c r="H3" s="407" t="s">
        <v>195</v>
      </c>
      <c r="I3" s="407" t="s">
        <v>196</v>
      </c>
      <c r="J3" s="407" t="s">
        <v>197</v>
      </c>
      <c r="K3" s="407" t="s">
        <v>198</v>
      </c>
      <c r="L3" s="407" t="s">
        <v>199</v>
      </c>
      <c r="M3" s="407" t="s">
        <v>200</v>
      </c>
      <c r="N3" s="407" t="s">
        <v>201</v>
      </c>
      <c r="O3" s="407" t="s">
        <v>202</v>
      </c>
      <c r="P3" s="407" t="s">
        <v>203</v>
      </c>
      <c r="Q3" s="407" t="s">
        <v>17</v>
      </c>
      <c r="R3" s="407" t="s">
        <v>204</v>
      </c>
      <c r="S3" s="407" t="s">
        <v>205</v>
      </c>
      <c r="T3" s="433" t="s">
        <v>206</v>
      </c>
      <c r="U3" s="419" t="s">
        <v>207</v>
      </c>
      <c r="V3" s="419" t="s">
        <v>208</v>
      </c>
      <c r="W3" s="419" t="s">
        <v>209</v>
      </c>
    </row>
    <row r="4" spans="1:23" ht="159" thickBot="1" x14ac:dyDescent="0.3">
      <c r="A4" s="249" t="s">
        <v>210</v>
      </c>
      <c r="B4" s="250" t="s">
        <v>211</v>
      </c>
      <c r="C4" s="251" t="s">
        <v>212</v>
      </c>
      <c r="D4" s="294" t="s">
        <v>213</v>
      </c>
      <c r="E4" s="413"/>
      <c r="F4" s="408"/>
      <c r="G4" s="408"/>
      <c r="H4" s="408"/>
      <c r="I4" s="408"/>
      <c r="J4" s="408"/>
      <c r="K4" s="408"/>
      <c r="L4" s="408"/>
      <c r="M4" s="408"/>
      <c r="N4" s="408"/>
      <c r="O4" s="408"/>
      <c r="P4" s="408"/>
      <c r="Q4" s="408"/>
      <c r="R4" s="408"/>
      <c r="S4" s="408"/>
      <c r="T4" s="434"/>
      <c r="U4" s="420"/>
      <c r="V4" s="420"/>
      <c r="W4" s="420"/>
    </row>
    <row r="5" spans="1:23" ht="15.75" customHeight="1" thickBot="1" x14ac:dyDescent="0.3">
      <c r="A5" s="421" t="s">
        <v>214</v>
      </c>
      <c r="B5" s="422"/>
      <c r="C5" s="423"/>
      <c r="D5" s="252"/>
      <c r="E5" s="253">
        <f t="shared" ref="E5:W5" si="0">SUM(E6:E28)</f>
        <v>500775104</v>
      </c>
      <c r="F5" s="254">
        <f t="shared" si="0"/>
        <v>0</v>
      </c>
      <c r="G5" s="254">
        <f t="shared" si="0"/>
        <v>2720000</v>
      </c>
      <c r="H5" s="254">
        <f t="shared" si="0"/>
        <v>6960000</v>
      </c>
      <c r="I5" s="254">
        <f t="shared" si="0"/>
        <v>1303824</v>
      </c>
      <c r="J5" s="254">
        <f t="shared" si="0"/>
        <v>10876600</v>
      </c>
      <c r="K5" s="254">
        <f t="shared" si="0"/>
        <v>17338672</v>
      </c>
      <c r="L5" s="254">
        <f t="shared" si="0"/>
        <v>0</v>
      </c>
      <c r="M5" s="254">
        <f t="shared" si="0"/>
        <v>0</v>
      </c>
      <c r="N5" s="254">
        <f t="shared" si="0"/>
        <v>19842500</v>
      </c>
      <c r="O5" s="254">
        <f t="shared" si="0"/>
        <v>0</v>
      </c>
      <c r="P5" s="254">
        <f t="shared" si="0"/>
        <v>3360000</v>
      </c>
      <c r="Q5" s="254">
        <f t="shared" si="0"/>
        <v>563176700</v>
      </c>
      <c r="R5" s="254">
        <f t="shared" si="0"/>
        <v>71573610.263999999</v>
      </c>
      <c r="S5" s="254">
        <f t="shared" si="0"/>
        <v>10157400</v>
      </c>
      <c r="T5" s="254">
        <f t="shared" si="0"/>
        <v>81731010.263999999</v>
      </c>
      <c r="U5" s="254">
        <f t="shared" si="0"/>
        <v>644907710.26400006</v>
      </c>
      <c r="V5" s="255">
        <f t="shared" si="0"/>
        <v>23305125</v>
      </c>
      <c r="W5" s="255">
        <f t="shared" si="0"/>
        <v>621602585.26400006</v>
      </c>
    </row>
    <row r="6" spans="1:23" x14ac:dyDescent="0.25">
      <c r="A6" s="214" t="s">
        <v>215</v>
      </c>
      <c r="B6" s="214" t="s">
        <v>216</v>
      </c>
      <c r="C6" s="214" t="s">
        <v>217</v>
      </c>
      <c r="D6" s="215" t="s">
        <v>218</v>
      </c>
      <c r="E6" s="219">
        <v>72393500</v>
      </c>
      <c r="F6" s="220"/>
      <c r="G6" s="220"/>
      <c r="H6" s="220">
        <v>480000</v>
      </c>
      <c r="I6" s="220">
        <v>198408</v>
      </c>
      <c r="J6" s="220">
        <v>1164000</v>
      </c>
      <c r="K6" s="220"/>
      <c r="L6" s="220"/>
      <c r="M6" s="220"/>
      <c r="N6" s="220">
        <v>2773500</v>
      </c>
      <c r="O6" s="220"/>
      <c r="P6" s="220"/>
      <c r="Q6" s="220">
        <f>SUM(E6:P6)</f>
        <v>77009408</v>
      </c>
      <c r="R6" s="220">
        <f>(E6+G6+H6+I6+N6+P6)*0.13+(K6*0.9)*0.13</f>
        <v>9859903.040000001</v>
      </c>
      <c r="S6" s="220">
        <v>1641600</v>
      </c>
      <c r="T6" s="220">
        <f t="shared" ref="T6:T27" si="1">R6+S6</f>
        <v>11501503.040000001</v>
      </c>
      <c r="U6" s="220">
        <f t="shared" ref="U6:U27" si="2">Q6+T6</f>
        <v>88510911.040000007</v>
      </c>
      <c r="V6" s="220"/>
      <c r="W6" s="221">
        <f t="shared" ref="W6:W27" si="3">U6-V6</f>
        <v>88510911.040000007</v>
      </c>
    </row>
    <row r="7" spans="1:23" ht="15.75" customHeight="1" x14ac:dyDescent="0.25">
      <c r="A7" s="203" t="s">
        <v>219</v>
      </c>
      <c r="B7" s="203" t="s">
        <v>216</v>
      </c>
      <c r="C7" s="203" t="s">
        <v>217</v>
      </c>
      <c r="D7" s="199" t="s">
        <v>220</v>
      </c>
      <c r="E7" s="219">
        <v>4225000</v>
      </c>
      <c r="F7" s="220"/>
      <c r="G7" s="220"/>
      <c r="H7" s="220"/>
      <c r="I7" s="220">
        <v>14172</v>
      </c>
      <c r="J7" s="220"/>
      <c r="K7" s="220"/>
      <c r="L7" s="220"/>
      <c r="M7" s="220"/>
      <c r="N7" s="220"/>
      <c r="O7" s="220"/>
      <c r="P7" s="220">
        <v>1680000</v>
      </c>
      <c r="Q7" s="222">
        <f t="shared" ref="Q7:Q27" si="4">SUM(E7:P7)</f>
        <v>5919172</v>
      </c>
      <c r="R7" s="222">
        <f t="shared" ref="R7:R27" si="5">(E7+G7+H7+I7+N7+P7)*0.13+(K7*0.9)*0.13</f>
        <v>769492.36</v>
      </c>
      <c r="S7" s="220">
        <v>102600</v>
      </c>
      <c r="T7" s="220">
        <f t="shared" si="1"/>
        <v>872092.36</v>
      </c>
      <c r="U7" s="220">
        <f t="shared" si="2"/>
        <v>6791264.3600000003</v>
      </c>
      <c r="V7" s="220">
        <v>6791264</v>
      </c>
      <c r="W7" s="221">
        <f t="shared" si="3"/>
        <v>0.36000000033527613</v>
      </c>
    </row>
    <row r="8" spans="1:23" ht="15.75" customHeight="1" x14ac:dyDescent="0.25">
      <c r="A8" s="203" t="s">
        <v>221</v>
      </c>
      <c r="B8" s="203" t="s">
        <v>222</v>
      </c>
      <c r="C8" s="203" t="s">
        <v>223</v>
      </c>
      <c r="D8" s="199" t="s">
        <v>218</v>
      </c>
      <c r="E8" s="219">
        <v>27136500</v>
      </c>
      <c r="F8" s="220"/>
      <c r="G8" s="220"/>
      <c r="H8" s="220">
        <v>480000</v>
      </c>
      <c r="I8" s="220">
        <v>56688</v>
      </c>
      <c r="J8" s="220">
        <v>700000</v>
      </c>
      <c r="K8" s="220"/>
      <c r="L8" s="220"/>
      <c r="M8" s="220"/>
      <c r="N8" s="220"/>
      <c r="O8" s="220"/>
      <c r="P8" s="220"/>
      <c r="Q8" s="222">
        <f t="shared" si="4"/>
        <v>28373188</v>
      </c>
      <c r="R8" s="222">
        <f t="shared" si="5"/>
        <v>3597514.44</v>
      </c>
      <c r="S8" s="220">
        <v>615600</v>
      </c>
      <c r="T8" s="220">
        <f t="shared" si="1"/>
        <v>4213114.4399999995</v>
      </c>
      <c r="U8" s="220">
        <f t="shared" si="2"/>
        <v>32586302.439999998</v>
      </c>
      <c r="V8" s="220"/>
      <c r="W8" s="221">
        <f t="shared" si="3"/>
        <v>32586302.439999998</v>
      </c>
    </row>
    <row r="9" spans="1:23" ht="15.75" customHeight="1" x14ac:dyDescent="0.25">
      <c r="A9" s="203" t="s">
        <v>219</v>
      </c>
      <c r="B9" s="203" t="s">
        <v>222</v>
      </c>
      <c r="C9" s="203" t="s">
        <v>223</v>
      </c>
      <c r="D9" s="199" t="s">
        <v>220</v>
      </c>
      <c r="E9" s="219">
        <v>6377600</v>
      </c>
      <c r="F9" s="220"/>
      <c r="G9" s="220"/>
      <c r="H9" s="220"/>
      <c r="I9" s="220">
        <v>28344</v>
      </c>
      <c r="J9" s="223"/>
      <c r="K9" s="220"/>
      <c r="L9" s="220"/>
      <c r="M9" s="220"/>
      <c r="N9" s="220"/>
      <c r="O9" s="220"/>
      <c r="P9" s="220">
        <v>840000</v>
      </c>
      <c r="Q9" s="222">
        <f t="shared" si="4"/>
        <v>7245944</v>
      </c>
      <c r="R9" s="222">
        <f t="shared" si="5"/>
        <v>941972.72000000009</v>
      </c>
      <c r="S9" s="220">
        <v>205200</v>
      </c>
      <c r="T9" s="220">
        <f t="shared" si="1"/>
        <v>1147172.7200000002</v>
      </c>
      <c r="U9" s="220">
        <f t="shared" si="2"/>
        <v>8393116.7200000007</v>
      </c>
      <c r="V9" s="220">
        <v>8393117</v>
      </c>
      <c r="W9" s="221">
        <f t="shared" si="3"/>
        <v>-0.27999999932944775</v>
      </c>
    </row>
    <row r="10" spans="1:23" ht="15.75" customHeight="1" x14ac:dyDescent="0.25">
      <c r="A10" s="216" t="s">
        <v>224</v>
      </c>
      <c r="B10" s="216" t="s">
        <v>225</v>
      </c>
      <c r="C10" s="216" t="s">
        <v>226</v>
      </c>
      <c r="D10" s="200" t="s">
        <v>218</v>
      </c>
      <c r="E10" s="224">
        <v>35231200</v>
      </c>
      <c r="F10" s="225"/>
      <c r="G10" s="225">
        <v>440000</v>
      </c>
      <c r="H10" s="225">
        <v>480000</v>
      </c>
      <c r="I10" s="225">
        <v>85032</v>
      </c>
      <c r="J10" s="225">
        <v>800000</v>
      </c>
      <c r="K10" s="225"/>
      <c r="L10" s="225"/>
      <c r="M10" s="225"/>
      <c r="N10" s="225">
        <v>3063000</v>
      </c>
      <c r="O10" s="225"/>
      <c r="P10" s="225"/>
      <c r="Q10" s="226">
        <f t="shared" si="4"/>
        <v>40099232</v>
      </c>
      <c r="R10" s="226">
        <f t="shared" si="5"/>
        <v>5108900.16</v>
      </c>
      <c r="S10" s="225">
        <v>615600</v>
      </c>
      <c r="T10" s="225">
        <f t="shared" si="1"/>
        <v>5724500.1600000001</v>
      </c>
      <c r="U10" s="225">
        <f t="shared" si="2"/>
        <v>45823732.159999996</v>
      </c>
      <c r="V10" s="225"/>
      <c r="W10" s="227">
        <f t="shared" si="3"/>
        <v>45823732.159999996</v>
      </c>
    </row>
    <row r="11" spans="1:23" ht="15.75" customHeight="1" x14ac:dyDescent="0.25">
      <c r="A11" s="203" t="s">
        <v>224</v>
      </c>
      <c r="B11" s="203" t="s">
        <v>225</v>
      </c>
      <c r="C11" s="203" t="s">
        <v>226</v>
      </c>
      <c r="D11" s="199" t="s">
        <v>227</v>
      </c>
      <c r="E11" s="219"/>
      <c r="F11" s="220"/>
      <c r="G11" s="220"/>
      <c r="H11" s="220"/>
      <c r="I11" s="220"/>
      <c r="J11" s="220"/>
      <c r="K11" s="220">
        <v>210000</v>
      </c>
      <c r="L11" s="220"/>
      <c r="M11" s="220"/>
      <c r="N11" s="220"/>
      <c r="O11" s="220"/>
      <c r="P11" s="220"/>
      <c r="Q11" s="222">
        <f t="shared" si="4"/>
        <v>210000</v>
      </c>
      <c r="R11" s="222">
        <f t="shared" si="5"/>
        <v>24570</v>
      </c>
      <c r="S11" s="220">
        <v>0</v>
      </c>
      <c r="T11" s="220">
        <f t="shared" si="1"/>
        <v>24570</v>
      </c>
      <c r="U11" s="220">
        <f t="shared" si="2"/>
        <v>234570</v>
      </c>
      <c r="V11" s="220"/>
      <c r="W11" s="221">
        <f t="shared" si="3"/>
        <v>234570</v>
      </c>
    </row>
    <row r="12" spans="1:23" ht="15.75" customHeight="1" x14ac:dyDescent="0.25">
      <c r="A12" s="203" t="s">
        <v>228</v>
      </c>
      <c r="B12" s="203" t="s">
        <v>229</v>
      </c>
      <c r="C12" s="203" t="s">
        <v>230</v>
      </c>
      <c r="D12" s="199" t="s">
        <v>218</v>
      </c>
      <c r="E12" s="228">
        <v>15409319</v>
      </c>
      <c r="F12" s="222"/>
      <c r="G12" s="222"/>
      <c r="H12" s="220">
        <v>480000</v>
      </c>
      <c r="I12" s="222">
        <v>42516</v>
      </c>
      <c r="J12" s="220">
        <v>560000</v>
      </c>
      <c r="K12" s="222"/>
      <c r="L12" s="222"/>
      <c r="M12" s="222"/>
      <c r="N12" s="222"/>
      <c r="O12" s="222"/>
      <c r="P12" s="222"/>
      <c r="Q12" s="222">
        <f t="shared" si="4"/>
        <v>16491835</v>
      </c>
      <c r="R12" s="222">
        <f t="shared" si="5"/>
        <v>2071138.55</v>
      </c>
      <c r="S12" s="222">
        <v>410400</v>
      </c>
      <c r="T12" s="222">
        <f t="shared" si="1"/>
        <v>2481538.5499999998</v>
      </c>
      <c r="U12" s="222">
        <f t="shared" si="2"/>
        <v>18973373.550000001</v>
      </c>
      <c r="V12" s="222"/>
      <c r="W12" s="229">
        <f t="shared" si="3"/>
        <v>18973373.550000001</v>
      </c>
    </row>
    <row r="13" spans="1:23" ht="15.75" customHeight="1" x14ac:dyDescent="0.25">
      <c r="A13" s="203" t="s">
        <v>231</v>
      </c>
      <c r="B13" s="203" t="s">
        <v>232</v>
      </c>
      <c r="C13" s="203" t="s">
        <v>233</v>
      </c>
      <c r="D13" s="199" t="s">
        <v>218</v>
      </c>
      <c r="E13" s="228">
        <v>39356800</v>
      </c>
      <c r="F13" s="222"/>
      <c r="G13" s="222"/>
      <c r="H13" s="220">
        <v>480000</v>
      </c>
      <c r="I13" s="222">
        <v>113376</v>
      </c>
      <c r="J13" s="222">
        <v>2200000</v>
      </c>
      <c r="K13" s="222"/>
      <c r="L13" s="222"/>
      <c r="M13" s="222"/>
      <c r="N13" s="222">
        <v>2198000</v>
      </c>
      <c r="O13" s="222"/>
      <c r="P13" s="222"/>
      <c r="Q13" s="222">
        <f t="shared" si="4"/>
        <v>44348176</v>
      </c>
      <c r="R13" s="222">
        <f t="shared" si="5"/>
        <v>5479262.8799999999</v>
      </c>
      <c r="S13" s="222">
        <v>820800</v>
      </c>
      <c r="T13" s="222">
        <f t="shared" si="1"/>
        <v>6300062.8799999999</v>
      </c>
      <c r="U13" s="222">
        <f t="shared" si="2"/>
        <v>50648238.880000003</v>
      </c>
      <c r="V13" s="222"/>
      <c r="W13" s="229">
        <f t="shared" si="3"/>
        <v>50648238.880000003</v>
      </c>
    </row>
    <row r="14" spans="1:23" ht="15.75" customHeight="1" x14ac:dyDescent="0.25">
      <c r="A14" s="203" t="s">
        <v>231</v>
      </c>
      <c r="B14" s="203" t="s">
        <v>232</v>
      </c>
      <c r="C14" s="203" t="s">
        <v>233</v>
      </c>
      <c r="D14" s="199" t="s">
        <v>227</v>
      </c>
      <c r="E14" s="228"/>
      <c r="F14" s="222"/>
      <c r="G14" s="222"/>
      <c r="H14" s="220"/>
      <c r="I14" s="222"/>
      <c r="J14" s="222"/>
      <c r="K14" s="222">
        <v>2023000</v>
      </c>
      <c r="L14" s="222"/>
      <c r="M14" s="222"/>
      <c r="N14" s="222"/>
      <c r="O14" s="222"/>
      <c r="P14" s="222"/>
      <c r="Q14" s="222">
        <f t="shared" si="4"/>
        <v>2023000</v>
      </c>
      <c r="R14" s="222">
        <f t="shared" si="5"/>
        <v>236691</v>
      </c>
      <c r="S14" s="222">
        <v>0</v>
      </c>
      <c r="T14" s="222">
        <f t="shared" si="1"/>
        <v>236691</v>
      </c>
      <c r="U14" s="222">
        <f t="shared" si="2"/>
        <v>2259691</v>
      </c>
      <c r="V14" s="222"/>
      <c r="W14" s="229">
        <f t="shared" si="3"/>
        <v>2259691</v>
      </c>
    </row>
    <row r="15" spans="1:23" x14ac:dyDescent="0.25">
      <c r="A15" s="203" t="s">
        <v>234</v>
      </c>
      <c r="B15" s="203" t="s">
        <v>235</v>
      </c>
      <c r="C15" s="203" t="s">
        <v>0</v>
      </c>
      <c r="D15" s="199" t="s">
        <v>218</v>
      </c>
      <c r="E15" s="228">
        <v>10904000</v>
      </c>
      <c r="F15" s="222"/>
      <c r="G15" s="222"/>
      <c r="H15" s="220">
        <v>480000</v>
      </c>
      <c r="I15" s="222">
        <v>28344</v>
      </c>
      <c r="J15" s="222"/>
      <c r="K15" s="222"/>
      <c r="L15" s="222"/>
      <c r="M15" s="222"/>
      <c r="N15" s="222">
        <v>1140000</v>
      </c>
      <c r="O15" s="222"/>
      <c r="P15" s="222"/>
      <c r="Q15" s="222">
        <f t="shared" si="4"/>
        <v>12552344</v>
      </c>
      <c r="R15" s="222">
        <f t="shared" si="5"/>
        <v>1631804.72</v>
      </c>
      <c r="S15" s="230">
        <v>205200</v>
      </c>
      <c r="T15" s="222">
        <f t="shared" si="1"/>
        <v>1837004.72</v>
      </c>
      <c r="U15" s="222">
        <f t="shared" si="2"/>
        <v>14389348.720000001</v>
      </c>
      <c r="V15" s="222"/>
      <c r="W15" s="229">
        <f t="shared" si="3"/>
        <v>14389348.720000001</v>
      </c>
    </row>
    <row r="16" spans="1:23" ht="15.75" customHeight="1" x14ac:dyDescent="0.25">
      <c r="A16" s="203" t="s">
        <v>219</v>
      </c>
      <c r="B16" s="203" t="s">
        <v>235</v>
      </c>
      <c r="C16" s="203" t="s">
        <v>0</v>
      </c>
      <c r="D16" s="199" t="s">
        <v>220</v>
      </c>
      <c r="E16" s="219">
        <v>4225000</v>
      </c>
      <c r="F16" s="220"/>
      <c r="G16" s="220"/>
      <c r="H16" s="220"/>
      <c r="I16" s="220">
        <v>14172</v>
      </c>
      <c r="J16" s="220"/>
      <c r="K16" s="220">
        <v>2040000</v>
      </c>
      <c r="L16" s="220"/>
      <c r="M16" s="220"/>
      <c r="N16" s="220"/>
      <c r="O16" s="220"/>
      <c r="P16" s="220">
        <v>840000</v>
      </c>
      <c r="Q16" s="222">
        <f t="shared" si="4"/>
        <v>7119172</v>
      </c>
      <c r="R16" s="222">
        <f t="shared" si="5"/>
        <v>898972.36</v>
      </c>
      <c r="S16" s="222">
        <v>102600</v>
      </c>
      <c r="T16" s="222">
        <f t="shared" si="1"/>
        <v>1001572.36</v>
      </c>
      <c r="U16" s="222">
        <f t="shared" si="2"/>
        <v>8120744.3600000003</v>
      </c>
      <c r="V16" s="222">
        <f>8147264-26520</f>
        <v>8120744</v>
      </c>
      <c r="W16" s="229">
        <f t="shared" si="3"/>
        <v>0.36000000033527613</v>
      </c>
    </row>
    <row r="17" spans="1:23" ht="15.75" customHeight="1" x14ac:dyDescent="0.25">
      <c r="A17" s="203" t="s">
        <v>236</v>
      </c>
      <c r="B17" s="203" t="s">
        <v>237</v>
      </c>
      <c r="C17" s="203" t="s">
        <v>1</v>
      </c>
      <c r="D17" s="199" t="s">
        <v>218</v>
      </c>
      <c r="E17" s="219">
        <v>39448800</v>
      </c>
      <c r="F17" s="220"/>
      <c r="G17" s="220"/>
      <c r="H17" s="220">
        <v>480000</v>
      </c>
      <c r="I17" s="220">
        <v>99204</v>
      </c>
      <c r="J17" s="220">
        <v>830000</v>
      </c>
      <c r="K17" s="220"/>
      <c r="L17" s="220"/>
      <c r="M17" s="220"/>
      <c r="N17" s="220">
        <v>2090000</v>
      </c>
      <c r="O17" s="220"/>
      <c r="P17" s="220"/>
      <c r="Q17" s="222">
        <f t="shared" si="4"/>
        <v>42948004</v>
      </c>
      <c r="R17" s="222">
        <f t="shared" si="5"/>
        <v>5475340.5200000005</v>
      </c>
      <c r="S17" s="226">
        <v>718200</v>
      </c>
      <c r="T17" s="222">
        <f t="shared" si="1"/>
        <v>6193540.5200000005</v>
      </c>
      <c r="U17" s="222">
        <f t="shared" si="2"/>
        <v>49141544.520000003</v>
      </c>
      <c r="V17" s="222"/>
      <c r="W17" s="229">
        <f t="shared" si="3"/>
        <v>49141544.520000003</v>
      </c>
    </row>
    <row r="18" spans="1:23" ht="15.75" customHeight="1" x14ac:dyDescent="0.25">
      <c r="A18" s="203" t="s">
        <v>236</v>
      </c>
      <c r="B18" s="203" t="s">
        <v>237</v>
      </c>
      <c r="C18" s="203" t="s">
        <v>1</v>
      </c>
      <c r="D18" s="199" t="s">
        <v>227</v>
      </c>
      <c r="E18" s="219"/>
      <c r="F18" s="220"/>
      <c r="G18" s="220"/>
      <c r="H18" s="220"/>
      <c r="I18" s="220"/>
      <c r="J18" s="220"/>
      <c r="K18" s="220">
        <v>1736000</v>
      </c>
      <c r="L18" s="220"/>
      <c r="M18" s="220"/>
      <c r="N18" s="220"/>
      <c r="O18" s="220"/>
      <c r="P18" s="220"/>
      <c r="Q18" s="222">
        <f t="shared" si="4"/>
        <v>1736000</v>
      </c>
      <c r="R18" s="222">
        <f t="shared" si="5"/>
        <v>203112</v>
      </c>
      <c r="S18" s="226">
        <v>0</v>
      </c>
      <c r="T18" s="222">
        <f t="shared" si="1"/>
        <v>203112</v>
      </c>
      <c r="U18" s="222">
        <f t="shared" si="2"/>
        <v>1939112</v>
      </c>
      <c r="V18" s="222"/>
      <c r="W18" s="229">
        <f t="shared" si="3"/>
        <v>1939112</v>
      </c>
    </row>
    <row r="19" spans="1:23" x14ac:dyDescent="0.25">
      <c r="A19" s="203" t="s">
        <v>238</v>
      </c>
      <c r="B19" s="203" t="s">
        <v>239</v>
      </c>
      <c r="C19" s="203" t="s">
        <v>240</v>
      </c>
      <c r="D19" s="199" t="s">
        <v>218</v>
      </c>
      <c r="E19" s="219">
        <v>26327600</v>
      </c>
      <c r="F19" s="220"/>
      <c r="G19" s="220"/>
      <c r="H19" s="220">
        <v>480000</v>
      </c>
      <c r="I19" s="220">
        <v>70860</v>
      </c>
      <c r="J19" s="220">
        <v>320000</v>
      </c>
      <c r="K19" s="220"/>
      <c r="L19" s="220"/>
      <c r="M19" s="220"/>
      <c r="N19" s="220">
        <v>2090000</v>
      </c>
      <c r="O19" s="220"/>
      <c r="P19" s="220"/>
      <c r="Q19" s="222">
        <f t="shared" si="4"/>
        <v>29288460</v>
      </c>
      <c r="R19" s="222">
        <f t="shared" si="5"/>
        <v>3765899.8000000003</v>
      </c>
      <c r="S19" s="226">
        <v>513000</v>
      </c>
      <c r="T19" s="222">
        <f t="shared" si="1"/>
        <v>4278899.8000000007</v>
      </c>
      <c r="U19" s="222">
        <f t="shared" si="2"/>
        <v>33567359.799999997</v>
      </c>
      <c r="V19" s="222"/>
      <c r="W19" s="229">
        <f t="shared" si="3"/>
        <v>33567359.799999997</v>
      </c>
    </row>
    <row r="20" spans="1:23" x14ac:dyDescent="0.25">
      <c r="A20" s="203" t="s">
        <v>241</v>
      </c>
      <c r="B20" s="203" t="s">
        <v>242</v>
      </c>
      <c r="C20" s="203" t="s">
        <v>243</v>
      </c>
      <c r="D20" s="199" t="s">
        <v>218</v>
      </c>
      <c r="E20" s="219">
        <v>56373400</v>
      </c>
      <c r="F20" s="220"/>
      <c r="G20" s="220"/>
      <c r="H20" s="220">
        <v>480000</v>
      </c>
      <c r="I20" s="220">
        <v>113376</v>
      </c>
      <c r="J20" s="220">
        <v>593600</v>
      </c>
      <c r="K20" s="220"/>
      <c r="L20" s="220"/>
      <c r="M20" s="220"/>
      <c r="N20" s="220">
        <v>6488000</v>
      </c>
      <c r="O20" s="220"/>
      <c r="P20" s="220"/>
      <c r="Q20" s="222">
        <f t="shared" si="4"/>
        <v>64048376</v>
      </c>
      <c r="R20" s="222">
        <f t="shared" si="5"/>
        <v>8249120.8799999999</v>
      </c>
      <c r="S20" s="226">
        <v>923400</v>
      </c>
      <c r="T20" s="222">
        <f t="shared" si="1"/>
        <v>9172520.879999999</v>
      </c>
      <c r="U20" s="222">
        <f t="shared" si="2"/>
        <v>73220896.879999995</v>
      </c>
      <c r="V20" s="222"/>
      <c r="W20" s="229">
        <f t="shared" si="3"/>
        <v>73220896.879999995</v>
      </c>
    </row>
    <row r="21" spans="1:23" x14ac:dyDescent="0.25">
      <c r="A21" s="203" t="s">
        <v>244</v>
      </c>
      <c r="B21" s="203" t="s">
        <v>245</v>
      </c>
      <c r="C21" s="203" t="s">
        <v>2</v>
      </c>
      <c r="D21" s="199" t="s">
        <v>218</v>
      </c>
      <c r="E21" s="219">
        <v>21051600</v>
      </c>
      <c r="F21" s="220"/>
      <c r="G21" s="220"/>
      <c r="H21" s="220"/>
      <c r="I21" s="220">
        <v>56688</v>
      </c>
      <c r="J21" s="220">
        <v>640000</v>
      </c>
      <c r="K21" s="220"/>
      <c r="L21" s="220"/>
      <c r="M21" s="220"/>
      <c r="N21" s="220"/>
      <c r="O21" s="220"/>
      <c r="P21" s="220"/>
      <c r="Q21" s="222">
        <f t="shared" si="4"/>
        <v>21748288</v>
      </c>
      <c r="R21" s="222">
        <f t="shared" si="5"/>
        <v>2744077.44</v>
      </c>
      <c r="S21" s="226">
        <v>410400</v>
      </c>
      <c r="T21" s="222">
        <f t="shared" si="1"/>
        <v>3154477.44</v>
      </c>
      <c r="U21" s="222">
        <f t="shared" si="2"/>
        <v>24902765.440000001</v>
      </c>
      <c r="V21" s="222"/>
      <c r="W21" s="229">
        <f t="shared" si="3"/>
        <v>24902765.440000001</v>
      </c>
    </row>
    <row r="22" spans="1:23" ht="15.75" customHeight="1" x14ac:dyDescent="0.25">
      <c r="A22" s="203" t="s">
        <v>246</v>
      </c>
      <c r="B22" s="203" t="s">
        <v>247</v>
      </c>
      <c r="C22" s="203" t="s">
        <v>3</v>
      </c>
      <c r="D22" s="199" t="s">
        <v>218</v>
      </c>
      <c r="E22" s="219">
        <v>54881100</v>
      </c>
      <c r="F22" s="220"/>
      <c r="G22" s="220">
        <v>480000</v>
      </c>
      <c r="H22" s="220">
        <v>480000</v>
      </c>
      <c r="I22" s="220">
        <v>141720</v>
      </c>
      <c r="J22" s="220">
        <v>1388000</v>
      </c>
      <c r="K22" s="220"/>
      <c r="L22" s="220"/>
      <c r="M22" s="220"/>
      <c r="N22" s="220"/>
      <c r="O22" s="220"/>
      <c r="P22" s="220"/>
      <c r="Q22" s="222">
        <f t="shared" si="4"/>
        <v>57370820</v>
      </c>
      <c r="R22" s="222">
        <f t="shared" si="5"/>
        <v>7277766.6000000006</v>
      </c>
      <c r="S22" s="226">
        <v>1026000</v>
      </c>
      <c r="T22" s="222">
        <f t="shared" si="1"/>
        <v>8303766.6000000006</v>
      </c>
      <c r="U22" s="222">
        <f t="shared" si="2"/>
        <v>65674586.600000001</v>
      </c>
      <c r="V22" s="222"/>
      <c r="W22" s="229">
        <f t="shared" si="3"/>
        <v>65674586.600000001</v>
      </c>
    </row>
    <row r="23" spans="1:23" ht="15.75" customHeight="1" x14ac:dyDescent="0.25">
      <c r="A23" s="203" t="s">
        <v>248</v>
      </c>
      <c r="B23" s="203" t="s">
        <v>249</v>
      </c>
      <c r="C23" s="203" t="s">
        <v>4</v>
      </c>
      <c r="D23" s="199" t="s">
        <v>218</v>
      </c>
      <c r="E23" s="228">
        <v>10426400</v>
      </c>
      <c r="F23" s="222"/>
      <c r="G23" s="222"/>
      <c r="H23" s="222"/>
      <c r="I23" s="222">
        <v>28344</v>
      </c>
      <c r="J23" s="222">
        <v>380000</v>
      </c>
      <c r="K23" s="222"/>
      <c r="L23" s="222"/>
      <c r="M23" s="222"/>
      <c r="N23" s="222"/>
      <c r="O23" s="222"/>
      <c r="P23" s="222"/>
      <c r="Q23" s="222">
        <f t="shared" si="4"/>
        <v>10834744</v>
      </c>
      <c r="R23" s="222">
        <f t="shared" si="5"/>
        <v>1359116.72</v>
      </c>
      <c r="S23" s="226">
        <v>205200</v>
      </c>
      <c r="T23" s="222">
        <f t="shared" si="1"/>
        <v>1564316.72</v>
      </c>
      <c r="U23" s="222">
        <f t="shared" si="2"/>
        <v>12399060.720000001</v>
      </c>
      <c r="V23" s="222"/>
      <c r="W23" s="229">
        <f t="shared" si="3"/>
        <v>12399060.720000001</v>
      </c>
    </row>
    <row r="24" spans="1:23" ht="15.75" customHeight="1" x14ac:dyDescent="0.25">
      <c r="A24" s="203" t="s">
        <v>250</v>
      </c>
      <c r="B24" s="203" t="s">
        <v>251</v>
      </c>
      <c r="C24" s="203" t="s">
        <v>5</v>
      </c>
      <c r="D24" s="199" t="s">
        <v>218</v>
      </c>
      <c r="E24" s="219">
        <v>30685914</v>
      </c>
      <c r="F24" s="220"/>
      <c r="G24" s="220"/>
      <c r="H24" s="220">
        <v>480000</v>
      </c>
      <c r="I24" s="220">
        <v>85032</v>
      </c>
      <c r="J24" s="220">
        <v>900000</v>
      </c>
      <c r="K24" s="220"/>
      <c r="L24" s="220"/>
      <c r="M24" s="220"/>
      <c r="N24" s="220"/>
      <c r="O24" s="220"/>
      <c r="P24" s="220"/>
      <c r="Q24" s="222">
        <f t="shared" si="4"/>
        <v>32150946</v>
      </c>
      <c r="R24" s="222">
        <f t="shared" si="5"/>
        <v>4062622.98</v>
      </c>
      <c r="S24" s="226">
        <v>615600</v>
      </c>
      <c r="T24" s="222">
        <f t="shared" si="1"/>
        <v>4678222.9800000004</v>
      </c>
      <c r="U24" s="222">
        <f t="shared" si="2"/>
        <v>36829168.980000004</v>
      </c>
      <c r="V24" s="222"/>
      <c r="W24" s="229">
        <f t="shared" si="3"/>
        <v>36829168.980000004</v>
      </c>
    </row>
    <row r="25" spans="1:23" ht="15.75" customHeight="1" x14ac:dyDescent="0.25">
      <c r="A25" s="203" t="s">
        <v>250</v>
      </c>
      <c r="B25" s="203" t="s">
        <v>251</v>
      </c>
      <c r="C25" s="203" t="s">
        <v>5</v>
      </c>
      <c r="D25" s="199" t="s">
        <v>227</v>
      </c>
      <c r="E25" s="219"/>
      <c r="F25" s="220"/>
      <c r="G25" s="220"/>
      <c r="H25" s="220"/>
      <c r="I25" s="220"/>
      <c r="J25" s="220"/>
      <c r="K25" s="220">
        <v>1652000</v>
      </c>
      <c r="L25" s="220"/>
      <c r="M25" s="220"/>
      <c r="N25" s="220"/>
      <c r="O25" s="220"/>
      <c r="P25" s="220"/>
      <c r="Q25" s="222">
        <f t="shared" si="4"/>
        <v>1652000</v>
      </c>
      <c r="R25" s="222">
        <f t="shared" si="5"/>
        <v>193284</v>
      </c>
      <c r="S25" s="226">
        <v>0</v>
      </c>
      <c r="T25" s="222">
        <f t="shared" si="1"/>
        <v>193284</v>
      </c>
      <c r="U25" s="222">
        <f t="shared" si="2"/>
        <v>1845284</v>
      </c>
      <c r="V25" s="222"/>
      <c r="W25" s="229">
        <f t="shared" si="3"/>
        <v>1845284</v>
      </c>
    </row>
    <row r="26" spans="1:23" x14ac:dyDescent="0.25">
      <c r="A26" s="203" t="s">
        <v>252</v>
      </c>
      <c r="B26" s="203" t="s">
        <v>253</v>
      </c>
      <c r="C26" s="203" t="s">
        <v>254</v>
      </c>
      <c r="D26" s="199" t="s">
        <v>218</v>
      </c>
      <c r="E26" s="219">
        <v>46321371</v>
      </c>
      <c r="F26" s="220"/>
      <c r="G26" s="220">
        <v>1800000</v>
      </c>
      <c r="H26" s="220">
        <v>1680000</v>
      </c>
      <c r="I26" s="220">
        <v>127548</v>
      </c>
      <c r="J26" s="220">
        <v>401000</v>
      </c>
      <c r="K26" s="220"/>
      <c r="L26" s="220"/>
      <c r="M26" s="220"/>
      <c r="N26" s="220"/>
      <c r="O26" s="220"/>
      <c r="P26" s="220"/>
      <c r="Q26" s="222">
        <f t="shared" si="4"/>
        <v>50329919</v>
      </c>
      <c r="R26" s="222">
        <f t="shared" si="5"/>
        <v>6490759.4700000007</v>
      </c>
      <c r="S26" s="226">
        <v>1026000</v>
      </c>
      <c r="T26" s="222">
        <f t="shared" si="1"/>
        <v>7516759.4700000007</v>
      </c>
      <c r="U26" s="222">
        <f t="shared" si="2"/>
        <v>57846678.469999999</v>
      </c>
      <c r="V26" s="222"/>
      <c r="W26" s="229">
        <f t="shared" si="3"/>
        <v>57846678.469999999</v>
      </c>
    </row>
    <row r="27" spans="1:23" ht="13.8" thickBot="1" x14ac:dyDescent="0.3">
      <c r="A27" s="217" t="s">
        <v>255</v>
      </c>
      <c r="B27" s="217" t="s">
        <v>256</v>
      </c>
      <c r="C27" s="217" t="s">
        <v>257</v>
      </c>
      <c r="D27" s="218" t="s">
        <v>258</v>
      </c>
      <c r="E27" s="231"/>
      <c r="F27" s="232"/>
      <c r="G27" s="232"/>
      <c r="H27" s="233"/>
      <c r="I27" s="232"/>
      <c r="J27" s="232"/>
      <c r="K27" s="232">
        <f>9472155+182838+22679</f>
        <v>9677672</v>
      </c>
      <c r="L27" s="232"/>
      <c r="M27" s="232"/>
      <c r="N27" s="232"/>
      <c r="O27" s="232"/>
      <c r="P27" s="232"/>
      <c r="Q27" s="232">
        <f t="shared" si="4"/>
        <v>9677672</v>
      </c>
      <c r="R27" s="232">
        <f t="shared" si="5"/>
        <v>1132287.6240000001</v>
      </c>
      <c r="S27" s="233">
        <v>0</v>
      </c>
      <c r="T27" s="232">
        <f t="shared" si="1"/>
        <v>1132287.6240000001</v>
      </c>
      <c r="U27" s="232">
        <f t="shared" si="2"/>
        <v>10809959.624</v>
      </c>
      <c r="V27" s="232"/>
      <c r="W27" s="234">
        <f t="shared" si="3"/>
        <v>10809959.624</v>
      </c>
    </row>
    <row r="28" spans="1:23" ht="12.75" hidden="1" customHeight="1" x14ac:dyDescent="0.25">
      <c r="A28" s="256"/>
      <c r="B28" s="257"/>
      <c r="C28" s="258"/>
      <c r="D28" s="258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1"/>
    </row>
    <row r="29" spans="1:23" ht="15" hidden="1" customHeight="1" x14ac:dyDescent="0.25">
      <c r="A29" s="424" t="s">
        <v>259</v>
      </c>
      <c r="B29" s="425"/>
      <c r="C29" s="426"/>
      <c r="D29" s="259"/>
      <c r="E29" s="260">
        <f>SUM(E30)</f>
        <v>0</v>
      </c>
      <c r="F29" s="260">
        <f t="shared" ref="F29:W29" si="6">SUM(F30)</f>
        <v>0</v>
      </c>
      <c r="G29" s="260">
        <f t="shared" si="6"/>
        <v>0</v>
      </c>
      <c r="H29" s="260">
        <f t="shared" si="6"/>
        <v>0</v>
      </c>
      <c r="I29" s="260">
        <f t="shared" si="6"/>
        <v>0</v>
      </c>
      <c r="J29" s="260">
        <f t="shared" si="6"/>
        <v>0</v>
      </c>
      <c r="K29" s="260">
        <f t="shared" si="6"/>
        <v>0</v>
      </c>
      <c r="L29" s="260">
        <f t="shared" si="6"/>
        <v>0</v>
      </c>
      <c r="M29" s="260">
        <f t="shared" si="6"/>
        <v>0</v>
      </c>
      <c r="N29" s="260">
        <f t="shared" si="6"/>
        <v>0</v>
      </c>
      <c r="O29" s="260">
        <f t="shared" si="6"/>
        <v>0</v>
      </c>
      <c r="P29" s="260">
        <f t="shared" si="6"/>
        <v>0</v>
      </c>
      <c r="Q29" s="260">
        <f t="shared" si="6"/>
        <v>0</v>
      </c>
      <c r="R29" s="260">
        <f t="shared" si="6"/>
        <v>0</v>
      </c>
      <c r="S29" s="260">
        <f t="shared" si="6"/>
        <v>0</v>
      </c>
      <c r="T29" s="260">
        <f t="shared" si="6"/>
        <v>0</v>
      </c>
      <c r="U29" s="260">
        <f t="shared" si="6"/>
        <v>0</v>
      </c>
      <c r="V29" s="260">
        <f t="shared" si="6"/>
        <v>0</v>
      </c>
      <c r="W29" s="261">
        <f t="shared" si="6"/>
        <v>0</v>
      </c>
    </row>
    <row r="30" spans="1:23" ht="12.75" hidden="1" customHeight="1" x14ac:dyDescent="0.25">
      <c r="A30" s="262"/>
      <c r="B30" s="263"/>
      <c r="C30" s="264"/>
      <c r="D30" s="264"/>
      <c r="E30" s="223"/>
      <c r="F30" s="223"/>
      <c r="G30" s="223"/>
      <c r="H30" s="223"/>
      <c r="I30" s="223"/>
      <c r="J30" s="223"/>
      <c r="K30" s="223"/>
      <c r="L30" s="223"/>
      <c r="M30" s="223"/>
      <c r="N30" s="223"/>
      <c r="O30" s="223"/>
      <c r="P30" s="223"/>
      <c r="Q30" s="222"/>
      <c r="R30" s="222"/>
      <c r="S30" s="222"/>
      <c r="T30" s="222"/>
      <c r="U30" s="222"/>
      <c r="V30" s="222"/>
      <c r="W30" s="229"/>
    </row>
    <row r="31" spans="1:23" ht="12.75" hidden="1" customHeight="1" x14ac:dyDescent="0.25">
      <c r="A31" s="265"/>
      <c r="B31" s="266"/>
      <c r="C31" s="267"/>
      <c r="D31" s="267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6"/>
      <c r="R31" s="236"/>
      <c r="S31" s="236"/>
      <c r="T31" s="236"/>
      <c r="U31" s="236"/>
      <c r="V31" s="236"/>
      <c r="W31" s="237"/>
    </row>
    <row r="32" spans="1:23" ht="15.75" hidden="1" customHeight="1" thickBot="1" x14ac:dyDescent="0.3">
      <c r="A32" s="427" t="s">
        <v>260</v>
      </c>
      <c r="B32" s="428"/>
      <c r="C32" s="428"/>
      <c r="D32" s="429"/>
      <c r="E32" s="260">
        <f>SUM(E33:E36)</f>
        <v>0</v>
      </c>
      <c r="F32" s="260">
        <f t="shared" ref="F32:W32" si="7">SUM(F33:F36)</f>
        <v>0</v>
      </c>
      <c r="G32" s="260">
        <f t="shared" si="7"/>
        <v>0</v>
      </c>
      <c r="H32" s="260">
        <f t="shared" si="7"/>
        <v>0</v>
      </c>
      <c r="I32" s="260">
        <f t="shared" si="7"/>
        <v>0</v>
      </c>
      <c r="J32" s="260">
        <f t="shared" si="7"/>
        <v>0</v>
      </c>
      <c r="K32" s="260">
        <f t="shared" si="7"/>
        <v>0</v>
      </c>
      <c r="L32" s="260">
        <f t="shared" si="7"/>
        <v>0</v>
      </c>
      <c r="M32" s="260">
        <f t="shared" si="7"/>
        <v>0</v>
      </c>
      <c r="N32" s="260">
        <f t="shared" si="7"/>
        <v>0</v>
      </c>
      <c r="O32" s="260">
        <f t="shared" si="7"/>
        <v>0</v>
      </c>
      <c r="P32" s="260">
        <f t="shared" si="7"/>
        <v>0</v>
      </c>
      <c r="Q32" s="268">
        <f t="shared" si="7"/>
        <v>0</v>
      </c>
      <c r="R32" s="268">
        <f t="shared" si="7"/>
        <v>0</v>
      </c>
      <c r="S32" s="268">
        <f t="shared" si="7"/>
        <v>0</v>
      </c>
      <c r="T32" s="268">
        <f t="shared" si="7"/>
        <v>0</v>
      </c>
      <c r="U32" s="268">
        <f t="shared" si="7"/>
        <v>0</v>
      </c>
      <c r="V32" s="268">
        <f t="shared" si="7"/>
        <v>0</v>
      </c>
      <c r="W32" s="269">
        <f t="shared" si="7"/>
        <v>0</v>
      </c>
    </row>
    <row r="33" spans="1:23" ht="12.75" hidden="1" customHeight="1" x14ac:dyDescent="0.25">
      <c r="A33" s="270" t="s">
        <v>261</v>
      </c>
      <c r="B33" s="271"/>
      <c r="C33" s="272" t="s">
        <v>262</v>
      </c>
      <c r="D33" s="272" t="s">
        <v>263</v>
      </c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8"/>
      <c r="Q33" s="239"/>
      <c r="R33" s="239"/>
      <c r="S33" s="239"/>
      <c r="T33" s="239"/>
      <c r="U33" s="239"/>
      <c r="V33" s="239"/>
      <c r="W33" s="240"/>
    </row>
    <row r="34" spans="1:23" ht="12.75" hidden="1" customHeight="1" x14ac:dyDescent="0.25">
      <c r="A34" s="273" t="s">
        <v>261</v>
      </c>
      <c r="B34" s="274"/>
      <c r="C34" s="275" t="s">
        <v>264</v>
      </c>
      <c r="D34" s="275" t="s">
        <v>265</v>
      </c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O34" s="223"/>
      <c r="P34" s="223"/>
      <c r="Q34" s="222"/>
      <c r="R34" s="222"/>
      <c r="S34" s="222"/>
      <c r="T34" s="222"/>
      <c r="U34" s="222"/>
      <c r="V34" s="222"/>
      <c r="W34" s="229"/>
    </row>
    <row r="35" spans="1:23" ht="12.75" hidden="1" customHeight="1" x14ac:dyDescent="0.25">
      <c r="A35" s="273" t="s">
        <v>261</v>
      </c>
      <c r="B35" s="274"/>
      <c r="C35" s="275" t="s">
        <v>266</v>
      </c>
      <c r="D35" s="275" t="s">
        <v>263</v>
      </c>
      <c r="E35" s="223"/>
      <c r="F35" s="223"/>
      <c r="G35" s="223"/>
      <c r="H35" s="223"/>
      <c r="I35" s="223"/>
      <c r="J35" s="223"/>
      <c r="K35" s="223"/>
      <c r="L35" s="223"/>
      <c r="M35" s="223"/>
      <c r="N35" s="223"/>
      <c r="O35" s="223"/>
      <c r="P35" s="223"/>
      <c r="Q35" s="222"/>
      <c r="R35" s="222"/>
      <c r="S35" s="222"/>
      <c r="T35" s="222"/>
      <c r="U35" s="222"/>
      <c r="V35" s="222"/>
      <c r="W35" s="229"/>
    </row>
    <row r="36" spans="1:23" ht="13.5" hidden="1" customHeight="1" thickBot="1" x14ac:dyDescent="0.3">
      <c r="A36" s="276" t="s">
        <v>261</v>
      </c>
      <c r="B36" s="277"/>
      <c r="C36" s="278"/>
      <c r="D36" s="278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2"/>
      <c r="R36" s="242"/>
      <c r="S36" s="242"/>
      <c r="T36" s="242"/>
      <c r="U36" s="242"/>
      <c r="V36" s="242"/>
      <c r="W36" s="243"/>
    </row>
    <row r="37" spans="1:23" ht="15.75" hidden="1" customHeight="1" thickBot="1" x14ac:dyDescent="0.3">
      <c r="A37" s="430" t="s">
        <v>267</v>
      </c>
      <c r="B37" s="431"/>
      <c r="C37" s="432"/>
      <c r="D37" s="279"/>
      <c r="E37" s="280">
        <f>+E38</f>
        <v>0</v>
      </c>
      <c r="F37" s="280">
        <f t="shared" ref="F37:W37" si="8">+F38</f>
        <v>0</v>
      </c>
      <c r="G37" s="280">
        <f t="shared" si="8"/>
        <v>0</v>
      </c>
      <c r="H37" s="280">
        <f t="shared" si="8"/>
        <v>0</v>
      </c>
      <c r="I37" s="280">
        <f t="shared" si="8"/>
        <v>0</v>
      </c>
      <c r="J37" s="280">
        <f t="shared" si="8"/>
        <v>0</v>
      </c>
      <c r="K37" s="280">
        <f t="shared" si="8"/>
        <v>0</v>
      </c>
      <c r="L37" s="280">
        <f t="shared" si="8"/>
        <v>0</v>
      </c>
      <c r="M37" s="280">
        <f t="shared" si="8"/>
        <v>0</v>
      </c>
      <c r="N37" s="280">
        <f t="shared" si="8"/>
        <v>0</v>
      </c>
      <c r="O37" s="280">
        <f t="shared" si="8"/>
        <v>0</v>
      </c>
      <c r="P37" s="280">
        <f t="shared" si="8"/>
        <v>0</v>
      </c>
      <c r="Q37" s="254">
        <f t="shared" si="8"/>
        <v>0</v>
      </c>
      <c r="R37" s="254">
        <f t="shared" si="8"/>
        <v>0</v>
      </c>
      <c r="S37" s="254">
        <f t="shared" si="8"/>
        <v>0</v>
      </c>
      <c r="T37" s="254">
        <f t="shared" si="8"/>
        <v>0</v>
      </c>
      <c r="U37" s="254">
        <f t="shared" si="8"/>
        <v>0</v>
      </c>
      <c r="V37" s="254">
        <f t="shared" si="8"/>
        <v>0</v>
      </c>
      <c r="W37" s="255">
        <f t="shared" si="8"/>
        <v>0</v>
      </c>
    </row>
    <row r="38" spans="1:23" ht="12.75" hidden="1" customHeight="1" x14ac:dyDescent="0.25">
      <c r="A38" s="281" t="s">
        <v>261</v>
      </c>
      <c r="B38" s="282"/>
      <c r="C38" s="283" t="s">
        <v>178</v>
      </c>
      <c r="D38" s="284" t="s">
        <v>268</v>
      </c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20"/>
      <c r="R38" s="220"/>
      <c r="S38" s="220"/>
      <c r="T38" s="220"/>
      <c r="U38" s="220"/>
      <c r="V38" s="220"/>
      <c r="W38" s="221"/>
    </row>
    <row r="39" spans="1:23" ht="12.75" hidden="1" customHeight="1" x14ac:dyDescent="0.25">
      <c r="A39" s="285"/>
      <c r="B39" s="286"/>
      <c r="C39" s="184"/>
      <c r="D39" s="284"/>
      <c r="E39" s="245"/>
      <c r="F39" s="245"/>
      <c r="G39" s="245"/>
      <c r="H39" s="245"/>
      <c r="I39" s="245"/>
      <c r="J39" s="245"/>
      <c r="K39" s="245"/>
      <c r="L39" s="245"/>
      <c r="M39" s="245"/>
      <c r="N39" s="245"/>
      <c r="O39" s="245"/>
      <c r="P39" s="245"/>
      <c r="Q39" s="246"/>
      <c r="R39" s="246"/>
      <c r="S39" s="246"/>
      <c r="T39" s="246"/>
      <c r="U39" s="246"/>
      <c r="V39" s="246"/>
      <c r="W39" s="247"/>
    </row>
    <row r="40" spans="1:23" ht="15.75" hidden="1" customHeight="1" thickBot="1" x14ac:dyDescent="0.3">
      <c r="A40" s="287" t="s">
        <v>269</v>
      </c>
      <c r="B40" s="288"/>
      <c r="C40" s="289"/>
      <c r="D40" s="290"/>
      <c r="E40" s="280">
        <f>SUM(E41:E43)</f>
        <v>0</v>
      </c>
      <c r="F40" s="280">
        <f t="shared" ref="F40:W40" si="9">SUM(F41:F43)</f>
        <v>0</v>
      </c>
      <c r="G40" s="280">
        <f t="shared" si="9"/>
        <v>0</v>
      </c>
      <c r="H40" s="280">
        <f t="shared" si="9"/>
        <v>0</v>
      </c>
      <c r="I40" s="280">
        <f t="shared" si="9"/>
        <v>0</v>
      </c>
      <c r="J40" s="280">
        <f t="shared" si="9"/>
        <v>0</v>
      </c>
      <c r="K40" s="280">
        <f t="shared" si="9"/>
        <v>0</v>
      </c>
      <c r="L40" s="280">
        <f t="shared" si="9"/>
        <v>0</v>
      </c>
      <c r="M40" s="280">
        <f t="shared" si="9"/>
        <v>0</v>
      </c>
      <c r="N40" s="280">
        <f t="shared" si="9"/>
        <v>0</v>
      </c>
      <c r="O40" s="280">
        <f t="shared" si="9"/>
        <v>0</v>
      </c>
      <c r="P40" s="280">
        <f t="shared" si="9"/>
        <v>0</v>
      </c>
      <c r="Q40" s="254">
        <f t="shared" si="9"/>
        <v>0</v>
      </c>
      <c r="R40" s="254">
        <f t="shared" si="9"/>
        <v>0</v>
      </c>
      <c r="S40" s="254">
        <f t="shared" si="9"/>
        <v>0</v>
      </c>
      <c r="T40" s="254">
        <f t="shared" si="9"/>
        <v>0</v>
      </c>
      <c r="U40" s="254">
        <f t="shared" si="9"/>
        <v>0</v>
      </c>
      <c r="V40" s="254">
        <f t="shared" si="9"/>
        <v>0</v>
      </c>
      <c r="W40" s="255">
        <f t="shared" si="9"/>
        <v>0</v>
      </c>
    </row>
    <row r="41" spans="1:23" ht="12.75" hidden="1" customHeight="1" x14ac:dyDescent="0.25">
      <c r="A41" s="285"/>
      <c r="B41" s="286"/>
      <c r="C41" s="284"/>
      <c r="D41" s="275" t="s">
        <v>265</v>
      </c>
      <c r="E41" s="244"/>
      <c r="F41" s="244"/>
      <c r="G41" s="244"/>
      <c r="H41" s="244"/>
      <c r="I41" s="244"/>
      <c r="J41" s="244"/>
      <c r="K41" s="244"/>
      <c r="L41" s="244"/>
      <c r="M41" s="244"/>
      <c r="N41" s="244"/>
      <c r="O41" s="244"/>
      <c r="P41" s="244"/>
      <c r="Q41" s="220"/>
      <c r="R41" s="220"/>
      <c r="S41" s="220"/>
      <c r="T41" s="220"/>
      <c r="U41" s="220"/>
      <c r="V41" s="220"/>
      <c r="W41" s="221"/>
    </row>
    <row r="42" spans="1:23" ht="12.75" hidden="1" customHeight="1" x14ac:dyDescent="0.25">
      <c r="A42" s="285"/>
      <c r="B42" s="286"/>
      <c r="C42" s="284"/>
      <c r="D42" s="275" t="s">
        <v>265</v>
      </c>
      <c r="E42" s="223"/>
      <c r="F42" s="223"/>
      <c r="G42" s="223"/>
      <c r="H42" s="223"/>
      <c r="I42" s="223"/>
      <c r="J42" s="223"/>
      <c r="K42" s="223"/>
      <c r="L42" s="223"/>
      <c r="M42" s="223"/>
      <c r="N42" s="223"/>
      <c r="O42" s="223"/>
      <c r="P42" s="223"/>
      <c r="Q42" s="222"/>
      <c r="R42" s="222"/>
      <c r="S42" s="222"/>
      <c r="T42" s="222"/>
      <c r="U42" s="222"/>
      <c r="V42" s="222"/>
      <c r="W42" s="229"/>
    </row>
    <row r="43" spans="1:23" ht="12.75" hidden="1" customHeight="1" x14ac:dyDescent="0.25">
      <c r="A43" s="285"/>
      <c r="B43" s="286"/>
      <c r="C43" s="284"/>
      <c r="D43" s="275" t="s">
        <v>265</v>
      </c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2"/>
      <c r="R43" s="222"/>
      <c r="S43" s="222"/>
      <c r="T43" s="222"/>
      <c r="U43" s="222"/>
      <c r="V43" s="222"/>
      <c r="W43" s="229"/>
    </row>
    <row r="44" spans="1:23" ht="15.75" customHeight="1" thickBot="1" x14ac:dyDescent="0.3">
      <c r="A44" s="414" t="s">
        <v>270</v>
      </c>
      <c r="B44" s="415"/>
      <c r="C44" s="416"/>
      <c r="D44" s="291"/>
      <c r="E44" s="292">
        <f t="shared" ref="E44:W44" si="10">+E5+E29+E32+E37+E40</f>
        <v>500775104</v>
      </c>
      <c r="F44" s="292">
        <f t="shared" si="10"/>
        <v>0</v>
      </c>
      <c r="G44" s="292">
        <f t="shared" si="10"/>
        <v>2720000</v>
      </c>
      <c r="H44" s="292">
        <f t="shared" si="10"/>
        <v>6960000</v>
      </c>
      <c r="I44" s="292">
        <f t="shared" si="10"/>
        <v>1303824</v>
      </c>
      <c r="J44" s="292">
        <f t="shared" si="10"/>
        <v>10876600</v>
      </c>
      <c r="K44" s="292">
        <f t="shared" si="10"/>
        <v>17338672</v>
      </c>
      <c r="L44" s="292">
        <f t="shared" si="10"/>
        <v>0</v>
      </c>
      <c r="M44" s="292">
        <f t="shared" si="10"/>
        <v>0</v>
      </c>
      <c r="N44" s="292">
        <f t="shared" si="10"/>
        <v>19842500</v>
      </c>
      <c r="O44" s="292">
        <f t="shared" si="10"/>
        <v>0</v>
      </c>
      <c r="P44" s="292">
        <f t="shared" si="10"/>
        <v>3360000</v>
      </c>
      <c r="Q44" s="292">
        <f t="shared" si="10"/>
        <v>563176700</v>
      </c>
      <c r="R44" s="292">
        <f t="shared" si="10"/>
        <v>71573610.263999999</v>
      </c>
      <c r="S44" s="292">
        <f t="shared" si="10"/>
        <v>10157400</v>
      </c>
      <c r="T44" s="292">
        <f t="shared" si="10"/>
        <v>81731010.263999999</v>
      </c>
      <c r="U44" s="292">
        <f t="shared" si="10"/>
        <v>644907710.26400006</v>
      </c>
      <c r="V44" s="292">
        <f t="shared" si="10"/>
        <v>23305125</v>
      </c>
      <c r="W44" s="293">
        <f t="shared" si="10"/>
        <v>621602585.26400006</v>
      </c>
    </row>
    <row r="45" spans="1:23" x14ac:dyDescent="0.25">
      <c r="A45"/>
    </row>
    <row r="46" spans="1:23" x14ac:dyDescent="0.25">
      <c r="A46"/>
    </row>
    <row r="47" spans="1:23" x14ac:dyDescent="0.25">
      <c r="A47"/>
    </row>
    <row r="48" spans="1:23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</sheetData>
  <mergeCells count="26">
    <mergeCell ref="A44:C44"/>
    <mergeCell ref="A1:W1"/>
    <mergeCell ref="V3:V4"/>
    <mergeCell ref="W3:W4"/>
    <mergeCell ref="A5:C5"/>
    <mergeCell ref="A29:C29"/>
    <mergeCell ref="A32:D32"/>
    <mergeCell ref="A37:C37"/>
    <mergeCell ref="P3:P4"/>
    <mergeCell ref="Q3:Q4"/>
    <mergeCell ref="R3:R4"/>
    <mergeCell ref="S3:S4"/>
    <mergeCell ref="T3:T4"/>
    <mergeCell ref="U3:U4"/>
    <mergeCell ref="J3:J4"/>
    <mergeCell ref="K3:K4"/>
    <mergeCell ref="L3:L4"/>
    <mergeCell ref="M3:M4"/>
    <mergeCell ref="N3:N4"/>
    <mergeCell ref="O3:O4"/>
    <mergeCell ref="A3:C3"/>
    <mergeCell ref="E3:E4"/>
    <mergeCell ref="F3:F4"/>
    <mergeCell ref="G3:G4"/>
    <mergeCell ref="H3:H4"/>
    <mergeCell ref="I3:I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sqref="A1:XFD1048576"/>
    </sheetView>
  </sheetViews>
  <sheetFormatPr defaultColWidth="7.6640625" defaultRowHeight="13.2" x14ac:dyDescent="0.25"/>
  <cols>
    <col min="1" max="1" width="3.6640625" style="297" customWidth="1"/>
    <col min="2" max="2" width="28.88671875" style="297" customWidth="1"/>
    <col min="3" max="3" width="44" style="297" customWidth="1"/>
    <col min="4" max="8" width="8.6640625" style="297" customWidth="1"/>
    <col min="9" max="9" width="30.6640625" style="297" customWidth="1"/>
    <col min="10" max="12" width="7.6640625" style="297"/>
    <col min="13" max="13" width="48.33203125" style="297" bestFit="1" customWidth="1"/>
    <col min="14" max="16384" width="7.6640625" style="297"/>
  </cols>
  <sheetData>
    <row r="1" spans="1:16" ht="21" x14ac:dyDescent="0.4">
      <c r="B1" s="298" t="s">
        <v>271</v>
      </c>
    </row>
    <row r="2" spans="1:16" ht="13.8" thickBot="1" x14ac:dyDescent="0.3"/>
    <row r="3" spans="1:16" s="303" customFormat="1" ht="27" thickBot="1" x14ac:dyDescent="0.3">
      <c r="A3" s="435" t="s">
        <v>272</v>
      </c>
      <c r="B3" s="436"/>
      <c r="C3" s="248" t="s">
        <v>273</v>
      </c>
      <c r="D3" s="299" t="s">
        <v>274</v>
      </c>
      <c r="E3" s="300" t="s">
        <v>275</v>
      </c>
      <c r="F3" s="300" t="s">
        <v>276</v>
      </c>
      <c r="G3" s="300" t="s">
        <v>277</v>
      </c>
      <c r="H3" s="301" t="s">
        <v>278</v>
      </c>
      <c r="I3" s="302" t="s">
        <v>279</v>
      </c>
    </row>
    <row r="4" spans="1:16" s="308" customFormat="1" ht="27" thickBot="1" x14ac:dyDescent="0.3">
      <c r="A4" s="304" t="s">
        <v>280</v>
      </c>
      <c r="B4" s="305" t="s">
        <v>281</v>
      </c>
      <c r="C4" s="306" t="s">
        <v>282</v>
      </c>
      <c r="D4" s="306"/>
      <c r="E4" s="306"/>
      <c r="F4" s="306"/>
      <c r="G4" s="306"/>
      <c r="H4" s="306" t="s">
        <v>283</v>
      </c>
      <c r="I4" s="307" t="s">
        <v>284</v>
      </c>
    </row>
    <row r="5" spans="1:16" s="308" customFormat="1" ht="53.4" thickBot="1" x14ac:dyDescent="0.3">
      <c r="A5" s="309" t="s">
        <v>285</v>
      </c>
      <c r="B5" s="310" t="s">
        <v>286</v>
      </c>
      <c r="C5" s="311" t="s">
        <v>287</v>
      </c>
      <c r="D5" s="312"/>
      <c r="E5" s="312"/>
      <c r="F5" s="312"/>
      <c r="G5" s="312"/>
      <c r="H5" s="312" t="s">
        <v>283</v>
      </c>
      <c r="I5" s="313" t="s">
        <v>288</v>
      </c>
    </row>
    <row r="6" spans="1:16" s="308" customFormat="1" ht="53.4" thickBot="1" x14ac:dyDescent="0.3">
      <c r="A6" s="309" t="s">
        <v>289</v>
      </c>
      <c r="B6" s="310" t="s">
        <v>290</v>
      </c>
      <c r="C6" s="314" t="s">
        <v>291</v>
      </c>
      <c r="D6" s="312"/>
      <c r="E6" s="312"/>
      <c r="F6" s="312"/>
      <c r="G6" s="312"/>
      <c r="H6" s="312" t="s">
        <v>283</v>
      </c>
      <c r="I6" s="315"/>
    </row>
    <row r="7" spans="1:16" s="308" customFormat="1" ht="53.4" thickBot="1" x14ac:dyDescent="0.3">
      <c r="A7" s="309" t="s">
        <v>292</v>
      </c>
      <c r="B7" s="310" t="s">
        <v>293</v>
      </c>
      <c r="C7" s="314" t="s">
        <v>313</v>
      </c>
      <c r="D7" s="312"/>
      <c r="E7" s="312"/>
      <c r="F7" s="312"/>
      <c r="G7" s="312"/>
      <c r="H7" s="312" t="s">
        <v>283</v>
      </c>
      <c r="I7" s="315"/>
    </row>
    <row r="8" spans="1:16" s="308" customFormat="1" ht="13.8" thickBot="1" x14ac:dyDescent="0.3">
      <c r="A8" s="316" t="s">
        <v>294</v>
      </c>
      <c r="B8" s="310" t="s">
        <v>295</v>
      </c>
      <c r="C8" s="317"/>
      <c r="D8" s="312"/>
      <c r="E8" s="312"/>
      <c r="F8" s="312"/>
      <c r="G8" s="312"/>
      <c r="H8" s="312" t="s">
        <v>283</v>
      </c>
      <c r="I8" s="313" t="s">
        <v>296</v>
      </c>
    </row>
    <row r="9" spans="1:16" s="308" customFormat="1" ht="40.200000000000003" thickBot="1" x14ac:dyDescent="0.3">
      <c r="A9" s="309" t="s">
        <v>297</v>
      </c>
      <c r="B9" s="310" t="s">
        <v>298</v>
      </c>
      <c r="C9" s="317"/>
      <c r="D9" s="312"/>
      <c r="E9" s="312"/>
      <c r="F9" s="312" t="s">
        <v>283</v>
      </c>
      <c r="G9" s="312"/>
      <c r="H9" s="312"/>
      <c r="I9" s="313" t="s">
        <v>299</v>
      </c>
    </row>
    <row r="10" spans="1:16" s="318" customFormat="1" ht="26.4" x14ac:dyDescent="0.25">
      <c r="M10" s="437" t="s">
        <v>300</v>
      </c>
      <c r="N10" s="319" t="s">
        <v>301</v>
      </c>
      <c r="O10" s="320" t="s">
        <v>302</v>
      </c>
      <c r="P10" s="321" t="s">
        <v>303</v>
      </c>
    </row>
    <row r="11" spans="1:16" s="318" customFormat="1" ht="26.4" x14ac:dyDescent="0.25">
      <c r="M11" s="438"/>
      <c r="N11" s="322" t="s">
        <v>304</v>
      </c>
      <c r="O11" s="323" t="s">
        <v>305</v>
      </c>
      <c r="P11" s="324" t="s">
        <v>306</v>
      </c>
    </row>
    <row r="12" spans="1:16" s="318" customFormat="1" ht="27" thickBot="1" x14ac:dyDescent="0.3">
      <c r="M12" s="439"/>
      <c r="N12" s="325" t="s">
        <v>307</v>
      </c>
      <c r="O12" s="326" t="s">
        <v>308</v>
      </c>
      <c r="P12" s="327" t="s">
        <v>309</v>
      </c>
    </row>
    <row r="13" spans="1:16" s="318" customFormat="1" ht="57.75" customHeight="1" thickBot="1" x14ac:dyDescent="0.3">
      <c r="M13" s="328"/>
      <c r="N13" s="440" t="s">
        <v>310</v>
      </c>
      <c r="O13" s="441"/>
      <c r="P13" s="442"/>
    </row>
    <row r="14" spans="1:16" s="318" customFormat="1" x14ac:dyDescent="0.25"/>
    <row r="15" spans="1:16" s="318" customFormat="1" x14ac:dyDescent="0.25"/>
    <row r="16" spans="1:16" s="318" customFormat="1" x14ac:dyDescent="0.25"/>
  </sheetData>
  <mergeCells count="3">
    <mergeCell ref="A3:B3"/>
    <mergeCell ref="M10:M12"/>
    <mergeCell ref="N13:P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31"/>
  <sheetViews>
    <sheetView zoomScale="110" zoomScaleNormal="110" workbookViewId="0">
      <selection sqref="A1:C31"/>
    </sheetView>
  </sheetViews>
  <sheetFormatPr defaultColWidth="8.88671875" defaultRowHeight="13.2" x14ac:dyDescent="0.25"/>
  <cols>
    <col min="1" max="1" width="39.88671875" style="2" customWidth="1"/>
    <col min="2" max="2" width="4.44140625" style="51" customWidth="1"/>
    <col min="3" max="3" width="41.6640625" style="2" customWidth="1"/>
    <col min="4" max="16384" width="8.88671875" style="2"/>
  </cols>
  <sheetData>
    <row r="1" spans="1:3" ht="27" thickBot="1" x14ac:dyDescent="0.3">
      <c r="A1" s="191" t="s">
        <v>127</v>
      </c>
      <c r="B1" s="192" t="s">
        <v>189</v>
      </c>
      <c r="C1" s="193" t="s">
        <v>153</v>
      </c>
    </row>
    <row r="2" spans="1:3" ht="26.4" x14ac:dyDescent="0.25">
      <c r="A2" s="194" t="s">
        <v>183</v>
      </c>
      <c r="B2" s="195">
        <v>3</v>
      </c>
      <c r="C2" s="196" t="s">
        <v>165</v>
      </c>
    </row>
    <row r="3" spans="1:3" ht="26.4" x14ac:dyDescent="0.25">
      <c r="A3" s="197" t="s">
        <v>184</v>
      </c>
      <c r="B3" s="198">
        <v>3</v>
      </c>
      <c r="C3" s="196" t="s">
        <v>165</v>
      </c>
    </row>
    <row r="4" spans="1:3" ht="26.4" x14ac:dyDescent="0.25">
      <c r="A4" s="197" t="s">
        <v>185</v>
      </c>
      <c r="B4" s="198">
        <v>3</v>
      </c>
      <c r="C4" s="196" t="s">
        <v>165</v>
      </c>
    </row>
    <row r="5" spans="1:3" ht="26.4" x14ac:dyDescent="0.25">
      <c r="A5" s="197" t="s">
        <v>186</v>
      </c>
      <c r="B5" s="198">
        <v>3</v>
      </c>
      <c r="C5" s="196" t="s">
        <v>165</v>
      </c>
    </row>
    <row r="6" spans="1:3" ht="26.4" x14ac:dyDescent="0.25">
      <c r="A6" s="197" t="s">
        <v>187</v>
      </c>
      <c r="B6" s="198">
        <v>2</v>
      </c>
      <c r="C6" s="196" t="s">
        <v>166</v>
      </c>
    </row>
    <row r="7" spans="1:3" ht="26.4" x14ac:dyDescent="0.25">
      <c r="A7" s="197" t="s">
        <v>188</v>
      </c>
      <c r="B7" s="198">
        <v>2</v>
      </c>
      <c r="C7" s="196" t="s">
        <v>166</v>
      </c>
    </row>
    <row r="8" spans="1:3" ht="26.4" x14ac:dyDescent="0.25">
      <c r="A8" s="199" t="s">
        <v>18</v>
      </c>
      <c r="B8" s="198">
        <v>2</v>
      </c>
      <c r="C8" s="196" t="s">
        <v>166</v>
      </c>
    </row>
    <row r="9" spans="1:3" ht="26.4" x14ac:dyDescent="0.25">
      <c r="A9" s="199" t="s">
        <v>94</v>
      </c>
      <c r="B9" s="198">
        <v>2</v>
      </c>
      <c r="C9" s="196" t="s">
        <v>166</v>
      </c>
    </row>
    <row r="10" spans="1:3" ht="26.4" x14ac:dyDescent="0.25">
      <c r="A10" s="199" t="s">
        <v>144</v>
      </c>
      <c r="B10" s="198">
        <v>1</v>
      </c>
      <c r="C10" s="196" t="s">
        <v>167</v>
      </c>
    </row>
    <row r="11" spans="1:3" x14ac:dyDescent="0.25">
      <c r="A11" s="200" t="s">
        <v>95</v>
      </c>
      <c r="B11" s="201">
        <v>5</v>
      </c>
      <c r="C11" s="196" t="s">
        <v>168</v>
      </c>
    </row>
    <row r="12" spans="1:3" x14ac:dyDescent="0.25">
      <c r="A12" s="200" t="s">
        <v>96</v>
      </c>
      <c r="B12" s="201">
        <v>9</v>
      </c>
      <c r="C12" s="196" t="s">
        <v>164</v>
      </c>
    </row>
    <row r="13" spans="1:3" x14ac:dyDescent="0.25">
      <c r="A13" s="200" t="s">
        <v>97</v>
      </c>
      <c r="B13" s="201">
        <v>5</v>
      </c>
      <c r="C13" s="196" t="s">
        <v>168</v>
      </c>
    </row>
    <row r="14" spans="1:3" x14ac:dyDescent="0.25">
      <c r="A14" s="200" t="s">
        <v>98</v>
      </c>
      <c r="B14" s="201">
        <v>17</v>
      </c>
      <c r="C14" s="196" t="s">
        <v>169</v>
      </c>
    </row>
    <row r="15" spans="1:3" ht="26.4" x14ac:dyDescent="0.25">
      <c r="A15" s="200" t="s">
        <v>61</v>
      </c>
      <c r="B15" s="198">
        <v>10</v>
      </c>
      <c r="C15" s="196" t="s">
        <v>99</v>
      </c>
    </row>
    <row r="16" spans="1:3" ht="26.4" x14ac:dyDescent="0.25">
      <c r="A16" s="200" t="s">
        <v>60</v>
      </c>
      <c r="B16" s="198">
        <v>1</v>
      </c>
      <c r="C16" s="196" t="s">
        <v>167</v>
      </c>
    </row>
    <row r="17" spans="1:3" ht="26.4" x14ac:dyDescent="0.25">
      <c r="A17" s="199" t="s">
        <v>154</v>
      </c>
      <c r="B17" s="198">
        <v>3</v>
      </c>
      <c r="C17" s="196" t="s">
        <v>165</v>
      </c>
    </row>
    <row r="18" spans="1:3" ht="26.4" x14ac:dyDescent="0.25">
      <c r="A18" s="199" t="s">
        <v>155</v>
      </c>
      <c r="B18" s="198">
        <v>3</v>
      </c>
      <c r="C18" s="196" t="s">
        <v>165</v>
      </c>
    </row>
    <row r="19" spans="1:3" x14ac:dyDescent="0.25">
      <c r="A19" s="199" t="s">
        <v>78</v>
      </c>
      <c r="B19" s="198">
        <v>6</v>
      </c>
      <c r="C19" s="196" t="s">
        <v>100</v>
      </c>
    </row>
    <row r="20" spans="1:3" x14ac:dyDescent="0.25">
      <c r="A20" s="199" t="s">
        <v>101</v>
      </c>
      <c r="B20" s="198">
        <v>9</v>
      </c>
      <c r="C20" s="196" t="s">
        <v>164</v>
      </c>
    </row>
    <row r="21" spans="1:3" ht="26.4" x14ac:dyDescent="0.25">
      <c r="A21" s="197" t="s">
        <v>156</v>
      </c>
      <c r="B21" s="201">
        <v>7</v>
      </c>
      <c r="C21" s="196" t="s">
        <v>170</v>
      </c>
    </row>
    <row r="22" spans="1:3" ht="26.4" x14ac:dyDescent="0.25">
      <c r="A22" s="197" t="s">
        <v>157</v>
      </c>
      <c r="B22" s="201">
        <v>7</v>
      </c>
      <c r="C22" s="196" t="s">
        <v>170</v>
      </c>
    </row>
    <row r="23" spans="1:3" ht="26.4" x14ac:dyDescent="0.25">
      <c r="A23" s="199" t="s">
        <v>79</v>
      </c>
      <c r="B23" s="198">
        <v>13</v>
      </c>
      <c r="C23" s="196" t="s">
        <v>171</v>
      </c>
    </row>
    <row r="24" spans="1:3" x14ac:dyDescent="0.25">
      <c r="A24" s="199" t="s">
        <v>6</v>
      </c>
      <c r="B24" s="198">
        <v>9</v>
      </c>
      <c r="C24" s="196" t="s">
        <v>164</v>
      </c>
    </row>
    <row r="25" spans="1:3" ht="52.8" x14ac:dyDescent="0.25">
      <c r="A25" s="202" t="s">
        <v>158</v>
      </c>
      <c r="B25" s="198">
        <v>18</v>
      </c>
      <c r="C25" s="196" t="s">
        <v>172</v>
      </c>
    </row>
    <row r="26" spans="1:3" x14ac:dyDescent="0.25">
      <c r="A26" s="203" t="s">
        <v>159</v>
      </c>
      <c r="B26" s="198">
        <v>9</v>
      </c>
      <c r="C26" s="204" t="s">
        <v>164</v>
      </c>
    </row>
    <row r="27" spans="1:3" x14ac:dyDescent="0.25">
      <c r="A27" s="203" t="s">
        <v>160</v>
      </c>
      <c r="B27" s="198">
        <v>9</v>
      </c>
      <c r="C27" s="204" t="s">
        <v>164</v>
      </c>
    </row>
    <row r="28" spans="1:3" x14ac:dyDescent="0.25">
      <c r="A28" s="203" t="s">
        <v>161</v>
      </c>
      <c r="B28" s="205">
        <v>17</v>
      </c>
      <c r="C28" s="204" t="s">
        <v>169</v>
      </c>
    </row>
    <row r="29" spans="1:3" x14ac:dyDescent="0.25">
      <c r="A29" s="206" t="s">
        <v>162</v>
      </c>
      <c r="B29" s="205">
        <v>9</v>
      </c>
      <c r="C29" s="207" t="s">
        <v>164</v>
      </c>
    </row>
    <row r="30" spans="1:3" x14ac:dyDescent="0.25">
      <c r="A30" s="208"/>
      <c r="B30" s="209"/>
      <c r="C30" s="210"/>
    </row>
    <row r="31" spans="1:3" ht="40.200000000000003" thickBot="1" x14ac:dyDescent="0.3">
      <c r="A31" s="213" t="s">
        <v>163</v>
      </c>
      <c r="B31" s="211">
        <v>9</v>
      </c>
      <c r="C31" s="212" t="s">
        <v>164</v>
      </c>
    </row>
  </sheetData>
  <pageMargins left="0.70866141732283472" right="0.70866141732283472" top="0.74803149606299213" bottom="0.74803149606299213" header="0.31496062992125984" footer="0.31496062992125984"/>
  <pageSetup paperSize="9" scale="83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D9"/>
  <sheetViews>
    <sheetView workbookViewId="0">
      <selection activeCell="A6" sqref="A6"/>
    </sheetView>
  </sheetViews>
  <sheetFormatPr defaultRowHeight="13.2" x14ac:dyDescent="0.25"/>
  <cols>
    <col min="1" max="1" width="48.88671875" customWidth="1"/>
  </cols>
  <sheetData>
    <row r="2" spans="1:4" ht="15.6" x14ac:dyDescent="0.25">
      <c r="A2" s="372" t="s">
        <v>322</v>
      </c>
      <c r="B2" s="372"/>
      <c r="C2" s="372"/>
      <c r="D2" s="372"/>
    </row>
    <row r="4" spans="1:4" x14ac:dyDescent="0.25">
      <c r="A4" s="366" t="s">
        <v>315</v>
      </c>
      <c r="B4" s="368" t="s">
        <v>316</v>
      </c>
      <c r="C4" s="370" t="s">
        <v>317</v>
      </c>
      <c r="D4" s="370" t="s">
        <v>318</v>
      </c>
    </row>
    <row r="5" spans="1:4" x14ac:dyDescent="0.25">
      <c r="A5" s="367"/>
      <c r="B5" s="369"/>
      <c r="C5" s="371"/>
      <c r="D5" s="371"/>
    </row>
    <row r="6" spans="1:4" ht="26.4" x14ac:dyDescent="0.25">
      <c r="A6" s="335" t="s">
        <v>319</v>
      </c>
      <c r="B6" s="336">
        <v>16800287</v>
      </c>
      <c r="C6" s="336">
        <v>9644473</v>
      </c>
      <c r="D6" s="337">
        <f>+B6-C6</f>
        <v>7155814</v>
      </c>
    </row>
    <row r="7" spans="1:4" x14ac:dyDescent="0.25">
      <c r="A7" s="338" t="s">
        <v>320</v>
      </c>
      <c r="B7" s="336">
        <v>17179457</v>
      </c>
      <c r="C7" s="336">
        <f>13200000+22162</f>
        <v>13222162</v>
      </c>
      <c r="D7" s="337">
        <f>+B7-C7</f>
        <v>3957295</v>
      </c>
    </row>
    <row r="8" spans="1:4" x14ac:dyDescent="0.25">
      <c r="A8" s="338" t="s">
        <v>321</v>
      </c>
      <c r="B8" s="336">
        <v>20886891</v>
      </c>
      <c r="C8" s="336">
        <v>12000000</v>
      </c>
      <c r="D8" s="337">
        <f>+B8-C8</f>
        <v>8886891</v>
      </c>
    </row>
    <row r="9" spans="1:4" x14ac:dyDescent="0.25">
      <c r="A9" s="339" t="s">
        <v>17</v>
      </c>
      <c r="B9" s="340">
        <f t="shared" ref="B9:C9" si="0">SUM(B6:B8)</f>
        <v>54866635</v>
      </c>
      <c r="C9" s="340">
        <f t="shared" si="0"/>
        <v>34866635</v>
      </c>
      <c r="D9" s="340">
        <f>SUM(D6:D8)</f>
        <v>20000000</v>
      </c>
    </row>
  </sheetData>
  <mergeCells count="5">
    <mergeCell ref="A4:A5"/>
    <mergeCell ref="B4:B5"/>
    <mergeCell ref="C4:C5"/>
    <mergeCell ref="D4:D5"/>
    <mergeCell ref="A2:D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30"/>
  <sheetViews>
    <sheetView workbookViewId="0">
      <selection activeCell="C20" sqref="C20"/>
    </sheetView>
  </sheetViews>
  <sheetFormatPr defaultRowHeight="13.2" x14ac:dyDescent="0.25"/>
  <cols>
    <col min="1" max="1" width="4.5546875" style="138" customWidth="1"/>
    <col min="2" max="2" width="13" customWidth="1"/>
    <col min="3" max="3" width="34.6640625" customWidth="1"/>
    <col min="4" max="4" width="10.5546875" bestFit="1" customWidth="1"/>
    <col min="5" max="5" width="10.88671875" style="139" bestFit="1" customWidth="1"/>
    <col min="6" max="6" width="10.33203125" bestFit="1" customWidth="1"/>
  </cols>
  <sheetData>
    <row r="2" spans="1:6" ht="15.6" x14ac:dyDescent="0.25">
      <c r="A2" s="386" t="s">
        <v>323</v>
      </c>
      <c r="B2" s="386"/>
      <c r="C2" s="386"/>
      <c r="D2" s="386"/>
      <c r="E2" s="386"/>
      <c r="F2" s="386"/>
    </row>
    <row r="4" spans="1:6" ht="13.8" thickBot="1" x14ac:dyDescent="0.3"/>
    <row r="5" spans="1:6" ht="13.8" thickBot="1" x14ac:dyDescent="0.3">
      <c r="A5" s="391" t="s">
        <v>14</v>
      </c>
      <c r="B5" s="392"/>
      <c r="C5" s="393"/>
      <c r="D5" s="140" t="s">
        <v>103</v>
      </c>
      <c r="E5" s="140" t="s">
        <v>143</v>
      </c>
      <c r="F5" s="141" t="s">
        <v>120</v>
      </c>
    </row>
    <row r="6" spans="1:6" x14ac:dyDescent="0.25">
      <c r="A6" s="373" t="s">
        <v>64</v>
      </c>
      <c r="B6" s="376" t="s">
        <v>73</v>
      </c>
      <c r="C6" s="152" t="s">
        <v>52</v>
      </c>
      <c r="D6" s="153">
        <f>-183597963-41285197</f>
        <v>-224883160</v>
      </c>
      <c r="E6" s="153">
        <f>+-191715084-13384460</f>
        <v>-205099544</v>
      </c>
      <c r="F6" s="353">
        <f>(+D6+D7+D8-E6-E7-E8)*-1</f>
        <v>-1665921</v>
      </c>
    </row>
    <row r="7" spans="1:6" x14ac:dyDescent="0.25">
      <c r="A7" s="374"/>
      <c r="B7" s="377"/>
      <c r="C7" s="154" t="s">
        <v>53</v>
      </c>
      <c r="D7" s="155">
        <f>501177117+112698392</f>
        <v>613875509</v>
      </c>
      <c r="E7" s="155">
        <f>553682094+38654944</f>
        <v>592337038</v>
      </c>
      <c r="F7" s="354"/>
    </row>
    <row r="8" spans="1:6" ht="13.8" thickBot="1" x14ac:dyDescent="0.3">
      <c r="A8" s="375"/>
      <c r="B8" s="378"/>
      <c r="C8" s="156" t="s">
        <v>54</v>
      </c>
      <c r="D8" s="157">
        <f>9853504+2215732</f>
        <v>12069236</v>
      </c>
      <c r="E8" s="157">
        <f>11364748+793422</f>
        <v>12158170</v>
      </c>
      <c r="F8" s="355"/>
    </row>
    <row r="9" spans="1:6" x14ac:dyDescent="0.25">
      <c r="A9" s="341" t="s">
        <v>65</v>
      </c>
      <c r="B9" s="379" t="s">
        <v>74</v>
      </c>
      <c r="C9" s="152" t="s">
        <v>55</v>
      </c>
      <c r="D9" s="153">
        <v>-9687299</v>
      </c>
      <c r="E9" s="153">
        <v>-9668163</v>
      </c>
      <c r="F9" s="353">
        <f>+(D9+D10+D11-E9-E10-E11)*-1</f>
        <v>-1260885.7797201565</v>
      </c>
    </row>
    <row r="10" spans="1:6" x14ac:dyDescent="0.25">
      <c r="A10" s="342"/>
      <c r="B10" s="380"/>
      <c r="C10" s="154" t="s">
        <v>56</v>
      </c>
      <c r="D10" s="155">
        <v>63565000</v>
      </c>
      <c r="E10" s="155">
        <v>61515000.00000003</v>
      </c>
      <c r="F10" s="354"/>
    </row>
    <row r="11" spans="1:6" ht="13.8" thickBot="1" x14ac:dyDescent="0.3">
      <c r="A11" s="343"/>
      <c r="B11" s="381"/>
      <c r="C11" s="158" t="s">
        <v>57</v>
      </c>
      <c r="D11" s="159">
        <v>5289526</v>
      </c>
      <c r="E11" s="159">
        <v>6059504.2202798137</v>
      </c>
      <c r="F11" s="354"/>
    </row>
    <row r="12" spans="1:6" ht="13.8" thickBot="1" x14ac:dyDescent="0.3">
      <c r="A12" s="296" t="s">
        <v>70</v>
      </c>
      <c r="B12" s="389" t="s">
        <v>58</v>
      </c>
      <c r="C12" s="390"/>
      <c r="D12" s="160">
        <v>-570048</v>
      </c>
      <c r="E12" s="160">
        <v>-616949</v>
      </c>
      <c r="F12" s="168">
        <f>+E12-D12</f>
        <v>-46901</v>
      </c>
    </row>
    <row r="13" spans="1:6" ht="13.8" thickBot="1" x14ac:dyDescent="0.3">
      <c r="A13" s="118" t="s">
        <v>68</v>
      </c>
      <c r="B13" s="389" t="s">
        <v>59</v>
      </c>
      <c r="C13" s="390"/>
      <c r="D13" s="160">
        <v>11236729</v>
      </c>
      <c r="E13" s="160">
        <v>12231887</v>
      </c>
      <c r="F13" s="168">
        <f>+E13-D13</f>
        <v>995158</v>
      </c>
    </row>
    <row r="14" spans="1:6" ht="13.8" thickBot="1" x14ac:dyDescent="0.3">
      <c r="A14" s="118" t="s">
        <v>66</v>
      </c>
      <c r="B14" s="350" t="s">
        <v>145</v>
      </c>
      <c r="C14" s="351"/>
      <c r="D14" s="160"/>
      <c r="E14" s="160">
        <v>12664788</v>
      </c>
      <c r="F14" s="168">
        <f t="shared" ref="F14:F29" si="0">+E14-D14</f>
        <v>12664788</v>
      </c>
    </row>
    <row r="15" spans="1:6" ht="13.8" thickBot="1" x14ac:dyDescent="0.3">
      <c r="A15" s="118" t="s">
        <v>71</v>
      </c>
      <c r="B15" s="389" t="s">
        <v>75</v>
      </c>
      <c r="C15" s="390"/>
      <c r="D15" s="160">
        <v>79837000</v>
      </c>
      <c r="E15" s="160">
        <v>79837000</v>
      </c>
      <c r="F15" s="168">
        <f t="shared" si="0"/>
        <v>0</v>
      </c>
    </row>
    <row r="16" spans="1:6" x14ac:dyDescent="0.25">
      <c r="A16" s="341" t="s">
        <v>67</v>
      </c>
      <c r="B16" s="363" t="s">
        <v>77</v>
      </c>
      <c r="C16" s="161" t="s">
        <v>133</v>
      </c>
      <c r="D16" s="153">
        <v>119305000</v>
      </c>
      <c r="E16" s="153">
        <v>119305000</v>
      </c>
      <c r="F16" s="169">
        <f t="shared" si="0"/>
        <v>0</v>
      </c>
    </row>
    <row r="17" spans="1:6" x14ac:dyDescent="0.25">
      <c r="A17" s="342"/>
      <c r="B17" s="364"/>
      <c r="C17" s="162" t="s">
        <v>144</v>
      </c>
      <c r="D17" s="155"/>
      <c r="E17" s="155">
        <v>89133393</v>
      </c>
      <c r="F17" s="170">
        <f t="shared" si="0"/>
        <v>89133393</v>
      </c>
    </row>
    <row r="18" spans="1:6" ht="26.4" x14ac:dyDescent="0.25">
      <c r="A18" s="342"/>
      <c r="B18" s="364"/>
      <c r="C18" s="163" t="s">
        <v>60</v>
      </c>
      <c r="D18" s="155">
        <f>10921812+191422</f>
        <v>11113234</v>
      </c>
      <c r="E18" s="155">
        <v>11582833</v>
      </c>
      <c r="F18" s="170">
        <f t="shared" si="0"/>
        <v>469599</v>
      </c>
    </row>
    <row r="19" spans="1:6" x14ac:dyDescent="0.25">
      <c r="A19" s="342"/>
      <c r="B19" s="364"/>
      <c r="C19" s="164" t="s">
        <v>98</v>
      </c>
      <c r="D19" s="155">
        <v>34531561</v>
      </c>
      <c r="E19" s="155">
        <v>20117060</v>
      </c>
      <c r="F19" s="170">
        <f t="shared" si="0"/>
        <v>-14414501</v>
      </c>
    </row>
    <row r="20" spans="1:6" x14ac:dyDescent="0.25">
      <c r="A20" s="342"/>
      <c r="B20" s="364"/>
      <c r="C20" s="164" t="s">
        <v>76</v>
      </c>
      <c r="D20" s="155">
        <v>8344436</v>
      </c>
      <c r="E20" s="155">
        <v>8344436</v>
      </c>
      <c r="F20" s="170">
        <f t="shared" si="0"/>
        <v>0</v>
      </c>
    </row>
    <row r="21" spans="1:6" x14ac:dyDescent="0.25">
      <c r="A21" s="342"/>
      <c r="B21" s="364"/>
      <c r="C21" s="164" t="s">
        <v>16</v>
      </c>
      <c r="D21" s="155">
        <v>3410456.8725195429</v>
      </c>
      <c r="E21" s="155">
        <v>3410456.8725195429</v>
      </c>
      <c r="F21" s="170">
        <f t="shared" si="0"/>
        <v>0</v>
      </c>
    </row>
    <row r="22" spans="1:6" ht="13.8" thickBot="1" x14ac:dyDescent="0.3">
      <c r="A22" s="343"/>
      <c r="B22" s="365"/>
      <c r="C22" s="165" t="s">
        <v>61</v>
      </c>
      <c r="D22" s="157">
        <v>21500000</v>
      </c>
      <c r="E22" s="157">
        <v>21500000</v>
      </c>
      <c r="F22" s="171">
        <f t="shared" si="0"/>
        <v>0</v>
      </c>
    </row>
    <row r="23" spans="1:6" ht="13.8" thickBot="1" x14ac:dyDescent="0.3">
      <c r="A23" s="296" t="s">
        <v>69</v>
      </c>
      <c r="B23" s="361" t="s">
        <v>146</v>
      </c>
      <c r="C23" s="362"/>
      <c r="D23" s="160"/>
      <c r="E23" s="160">
        <v>26813049</v>
      </c>
      <c r="F23" s="168">
        <f t="shared" si="0"/>
        <v>26813049</v>
      </c>
    </row>
    <row r="24" spans="1:6" ht="13.8" thickBot="1" x14ac:dyDescent="0.3">
      <c r="A24" s="118" t="s">
        <v>72</v>
      </c>
      <c r="B24" s="387" t="s">
        <v>62</v>
      </c>
      <c r="C24" s="388"/>
      <c r="D24" s="166">
        <v>75586481</v>
      </c>
      <c r="E24" s="166">
        <v>54472128</v>
      </c>
      <c r="F24" s="295">
        <f t="shared" si="0"/>
        <v>-21114353</v>
      </c>
    </row>
    <row r="25" spans="1:6" ht="13.8" thickBot="1" x14ac:dyDescent="0.3">
      <c r="A25" s="118" t="s">
        <v>122</v>
      </c>
      <c r="B25" s="350" t="s">
        <v>63</v>
      </c>
      <c r="C25" s="351"/>
      <c r="D25" s="160">
        <v>5239256</v>
      </c>
      <c r="E25" s="160">
        <v>3179246.5390269402</v>
      </c>
      <c r="F25" s="168">
        <f t="shared" si="0"/>
        <v>-2060009.4609730598</v>
      </c>
    </row>
    <row r="26" spans="1:6" ht="13.8" thickBot="1" x14ac:dyDescent="0.3">
      <c r="A26" s="118" t="s">
        <v>123</v>
      </c>
      <c r="B26" s="359" t="s">
        <v>175</v>
      </c>
      <c r="C26" s="360"/>
      <c r="D26" s="160">
        <v>6276491</v>
      </c>
      <c r="E26" s="160">
        <v>1967164</v>
      </c>
      <c r="F26" s="168">
        <f t="shared" si="0"/>
        <v>-4309327</v>
      </c>
    </row>
    <row r="27" spans="1:6" ht="13.8" thickBot="1" x14ac:dyDescent="0.3">
      <c r="A27" s="118" t="s">
        <v>124</v>
      </c>
      <c r="B27" s="359" t="s">
        <v>102</v>
      </c>
      <c r="C27" s="360"/>
      <c r="D27" s="160">
        <v>34091614</v>
      </c>
      <c r="E27" s="160"/>
      <c r="F27" s="168">
        <f t="shared" si="0"/>
        <v>-34091614</v>
      </c>
    </row>
    <row r="28" spans="1:6" ht="13.8" thickBot="1" x14ac:dyDescent="0.3">
      <c r="A28" s="118" t="s">
        <v>148</v>
      </c>
      <c r="B28" s="359" t="s">
        <v>121</v>
      </c>
      <c r="C28" s="360"/>
      <c r="D28" s="160">
        <f>32246232+113507670</f>
        <v>145753902</v>
      </c>
      <c r="E28" s="160">
        <v>158670985</v>
      </c>
      <c r="F28" s="168">
        <f t="shared" si="0"/>
        <v>12917083</v>
      </c>
    </row>
    <row r="29" spans="1:6" ht="13.8" thickBot="1" x14ac:dyDescent="0.3">
      <c r="A29" s="118" t="s">
        <v>149</v>
      </c>
      <c r="B29" s="382" t="s">
        <v>147</v>
      </c>
      <c r="C29" s="360"/>
      <c r="D29" s="160">
        <v>0</v>
      </c>
      <c r="E29" s="160">
        <v>69502</v>
      </c>
      <c r="F29" s="168">
        <f t="shared" si="0"/>
        <v>69502</v>
      </c>
    </row>
    <row r="30" spans="1:6" ht="13.8" thickBot="1" x14ac:dyDescent="0.3">
      <c r="A30" s="383" t="s">
        <v>7</v>
      </c>
      <c r="B30" s="384"/>
      <c r="C30" s="385"/>
      <c r="D30" s="167">
        <f>SUM(D6:D29)</f>
        <v>1015884924.8725195</v>
      </c>
      <c r="E30" s="167">
        <f>SUM(E6:E29)</f>
        <v>1079983984.6318264</v>
      </c>
      <c r="F30" s="167">
        <f>+E30-D30</f>
        <v>64099059.759306908</v>
      </c>
    </row>
  </sheetData>
  <mergeCells count="22">
    <mergeCell ref="B29:C29"/>
    <mergeCell ref="A30:C30"/>
    <mergeCell ref="A2:F2"/>
    <mergeCell ref="B23:C23"/>
    <mergeCell ref="B24:C24"/>
    <mergeCell ref="B25:C25"/>
    <mergeCell ref="B26:C26"/>
    <mergeCell ref="B27:C27"/>
    <mergeCell ref="B28:C28"/>
    <mergeCell ref="B12:C12"/>
    <mergeCell ref="B13:C13"/>
    <mergeCell ref="B14:C14"/>
    <mergeCell ref="B15:C15"/>
    <mergeCell ref="A16:A22"/>
    <mergeCell ref="B16:B22"/>
    <mergeCell ref="A5:C5"/>
    <mergeCell ref="A6:A8"/>
    <mergeCell ref="B6:B8"/>
    <mergeCell ref="F6:F8"/>
    <mergeCell ref="A9:A11"/>
    <mergeCell ref="B9:B11"/>
    <mergeCell ref="F9:F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9"/>
  <sheetViews>
    <sheetView workbookViewId="0">
      <selection activeCell="B8" sqref="B8"/>
    </sheetView>
  </sheetViews>
  <sheetFormatPr defaultRowHeight="13.2" x14ac:dyDescent="0.25"/>
  <cols>
    <col min="1" max="1" width="44.33203125" customWidth="1"/>
    <col min="2" max="3" width="15.6640625" customWidth="1"/>
  </cols>
  <sheetData>
    <row r="1" spans="1:4" x14ac:dyDescent="0.25">
      <c r="A1" s="352" t="s">
        <v>150</v>
      </c>
      <c r="B1" s="352"/>
      <c r="C1" s="352"/>
    </row>
    <row r="2" spans="1:4" x14ac:dyDescent="0.25">
      <c r="A2" s="352"/>
      <c r="B2" s="352"/>
      <c r="C2" s="352"/>
    </row>
    <row r="3" spans="1:4" ht="15.6" x14ac:dyDescent="0.25">
      <c r="A3" s="352"/>
      <c r="B3" s="352"/>
      <c r="C3" s="352"/>
    </row>
    <row r="5" spans="1:4" ht="13.8" thickBot="1" x14ac:dyDescent="0.3"/>
    <row r="6" spans="1:4" ht="15" customHeight="1" x14ac:dyDescent="0.25">
      <c r="A6" s="19" t="s">
        <v>41</v>
      </c>
      <c r="B6" s="99">
        <v>2023</v>
      </c>
      <c r="C6" s="99">
        <v>2022</v>
      </c>
    </row>
    <row r="7" spans="1:4" ht="15" customHeight="1" x14ac:dyDescent="0.25">
      <c r="A7" s="17" t="s">
        <v>39</v>
      </c>
      <c r="B7" s="15">
        <v>5000000</v>
      </c>
      <c r="C7" s="15">
        <v>7000000</v>
      </c>
    </row>
    <row r="8" spans="1:4" ht="15" customHeight="1" thickBot="1" x14ac:dyDescent="0.3">
      <c r="A8" s="18" t="s">
        <v>40</v>
      </c>
      <c r="B8" s="15">
        <v>7231887</v>
      </c>
      <c r="C8" s="15">
        <f>2470135+1766594</f>
        <v>4236729</v>
      </c>
    </row>
    <row r="9" spans="1:4" ht="15" customHeight="1" thickBot="1" x14ac:dyDescent="0.3">
      <c r="A9" s="14" t="s">
        <v>7</v>
      </c>
      <c r="B9" s="16">
        <f>SUM(B7:B8)</f>
        <v>12231887</v>
      </c>
      <c r="C9" s="16">
        <f>SUM(C7:C8)</f>
        <v>11236729</v>
      </c>
      <c r="D9" s="13"/>
    </row>
  </sheetData>
  <mergeCells count="2">
    <mergeCell ref="A1:C2"/>
    <mergeCell ref="A3:C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3"/>
  <sheetViews>
    <sheetView workbookViewId="0">
      <selection activeCell="B24" sqref="B24"/>
    </sheetView>
  </sheetViews>
  <sheetFormatPr defaultRowHeight="13.2" x14ac:dyDescent="0.25"/>
  <cols>
    <col min="1" max="1" width="36.33203125" customWidth="1"/>
    <col min="2" max="2" width="12.44140625" bestFit="1" customWidth="1"/>
    <col min="3" max="3" width="18.88671875" bestFit="1" customWidth="1"/>
    <col min="4" max="4" width="14" bestFit="1" customWidth="1"/>
    <col min="5" max="5" width="12.6640625" customWidth="1"/>
    <col min="6" max="6" width="14.33203125" style="87" customWidth="1"/>
    <col min="7" max="7" width="12.6640625" style="66" customWidth="1"/>
    <col min="8" max="8" width="17" bestFit="1" customWidth="1"/>
    <col min="9" max="9" width="16.5546875" bestFit="1" customWidth="1"/>
    <col min="10" max="10" width="17.109375" bestFit="1" customWidth="1"/>
    <col min="11" max="11" width="13.33203125" style="13" bestFit="1" customWidth="1"/>
    <col min="12" max="12" width="17.33203125" customWidth="1"/>
  </cols>
  <sheetData>
    <row r="1" spans="1:12" s="54" customFormat="1" ht="18" x14ac:dyDescent="0.25">
      <c r="A1" s="52" t="s">
        <v>137</v>
      </c>
      <c r="B1" s="52"/>
      <c r="C1" s="52"/>
      <c r="D1" s="52"/>
      <c r="E1" s="52"/>
      <c r="F1" s="81"/>
      <c r="G1" s="53"/>
      <c r="K1" s="55"/>
    </row>
    <row r="2" spans="1:12" ht="14.4" x14ac:dyDescent="0.25">
      <c r="A2" s="56"/>
      <c r="B2" s="56"/>
      <c r="C2" s="56"/>
      <c r="D2" s="56"/>
      <c r="E2" s="56"/>
      <c r="F2" s="81"/>
      <c r="G2" s="53"/>
    </row>
    <row r="3" spans="1:12" s="4" customFormat="1" ht="14.4" x14ac:dyDescent="0.25">
      <c r="A3" s="49"/>
      <c r="B3" s="49"/>
      <c r="C3" s="49"/>
      <c r="D3" s="49"/>
      <c r="E3" s="49"/>
      <c r="F3" s="81"/>
      <c r="G3" s="53"/>
      <c r="K3" s="57"/>
    </row>
    <row r="4" spans="1:12" s="4" customFormat="1" ht="13.8" thickBot="1" x14ac:dyDescent="0.3">
      <c r="A4"/>
      <c r="B4"/>
      <c r="C4"/>
      <c r="D4" s="13"/>
      <c r="E4"/>
      <c r="F4" s="82"/>
      <c r="G4"/>
      <c r="K4" s="57"/>
    </row>
    <row r="5" spans="1:12" s="4" customFormat="1" ht="15" thickBot="1" x14ac:dyDescent="0.3">
      <c r="A5" s="394" t="s">
        <v>104</v>
      </c>
      <c r="B5" s="395"/>
      <c r="C5" s="395"/>
      <c r="D5" s="395"/>
      <c r="E5" s="395"/>
      <c r="F5" s="123" t="s">
        <v>43</v>
      </c>
      <c r="G5" s="58"/>
      <c r="H5" s="93" t="s">
        <v>118</v>
      </c>
      <c r="I5" s="94" t="s">
        <v>115</v>
      </c>
      <c r="J5" s="94" t="s">
        <v>116</v>
      </c>
      <c r="K5" s="95" t="s">
        <v>117</v>
      </c>
      <c r="L5"/>
    </row>
    <row r="6" spans="1:12" s="4" customFormat="1" ht="28.8" x14ac:dyDescent="0.25">
      <c r="A6" s="70"/>
      <c r="B6" s="71" t="s">
        <v>105</v>
      </c>
      <c r="C6" s="69" t="s">
        <v>106</v>
      </c>
      <c r="D6" s="59" t="s">
        <v>107</v>
      </c>
      <c r="E6" s="60" t="s">
        <v>108</v>
      </c>
      <c r="F6" s="75" t="s">
        <v>17</v>
      </c>
      <c r="G6" s="61"/>
      <c r="H6" s="96">
        <v>2020</v>
      </c>
      <c r="I6" s="89">
        <v>352742432</v>
      </c>
      <c r="J6" s="89">
        <v>53925172</v>
      </c>
      <c r="K6" s="89">
        <v>5717125</v>
      </c>
      <c r="L6"/>
    </row>
    <row r="7" spans="1:12" s="4" customFormat="1" ht="14.4" x14ac:dyDescent="0.25">
      <c r="A7" s="62" t="s">
        <v>109</v>
      </c>
      <c r="B7" s="63">
        <v>585274320</v>
      </c>
      <c r="C7" s="63">
        <v>242415481</v>
      </c>
      <c r="D7" s="63">
        <v>9883593</v>
      </c>
      <c r="E7" s="64">
        <v>352742432</v>
      </c>
      <c r="F7" s="84">
        <v>352742432</v>
      </c>
      <c r="G7"/>
      <c r="H7" s="96">
        <v>2021</v>
      </c>
      <c r="I7" s="89">
        <v>382620171</v>
      </c>
      <c r="J7" s="89">
        <v>51152721</v>
      </c>
      <c r="K7" s="89">
        <v>3812873</v>
      </c>
      <c r="L7"/>
    </row>
    <row r="8" spans="1:12" s="68" customFormat="1" ht="14.4" x14ac:dyDescent="0.25">
      <c r="A8" s="62" t="s">
        <v>112</v>
      </c>
      <c r="B8" s="63">
        <v>614173600</v>
      </c>
      <c r="C8" s="63">
        <v>241805111</v>
      </c>
      <c r="D8" s="63">
        <f>9565501+274804+261799+149579</f>
        <v>10251683</v>
      </c>
      <c r="E8" s="64">
        <f>+B8-C8+D8</f>
        <v>382620172</v>
      </c>
      <c r="F8" s="84">
        <f>+E8-1</f>
        <v>382620171</v>
      </c>
      <c r="G8" s="61"/>
      <c r="H8" s="90">
        <v>2022</v>
      </c>
      <c r="I8" s="89">
        <v>401061586</v>
      </c>
      <c r="J8" s="89">
        <v>59167227</v>
      </c>
      <c r="K8" s="89">
        <v>4669208</v>
      </c>
    </row>
    <row r="9" spans="1:12" ht="15" thickBot="1" x14ac:dyDescent="0.3">
      <c r="A9" s="72" t="s">
        <v>113</v>
      </c>
      <c r="B9" s="73">
        <v>613875509</v>
      </c>
      <c r="C9" s="73">
        <v>224883159</v>
      </c>
      <c r="D9" s="73">
        <v>12069236</v>
      </c>
      <c r="E9" s="74">
        <f>+B9-C9+D9</f>
        <v>401061586</v>
      </c>
      <c r="F9" s="85">
        <f>+E9</f>
        <v>401061586</v>
      </c>
      <c r="G9" s="61"/>
      <c r="H9" s="90"/>
      <c r="I9" s="89"/>
      <c r="J9" s="89"/>
      <c r="K9" s="89"/>
    </row>
    <row r="10" spans="1:12" ht="16.2" thickBot="1" x14ac:dyDescent="0.3">
      <c r="A10" s="65"/>
      <c r="B10" s="65"/>
      <c r="C10" s="65"/>
      <c r="D10" s="65"/>
      <c r="E10" s="65"/>
      <c r="F10" s="86"/>
      <c r="H10" s="94" t="s">
        <v>119</v>
      </c>
      <c r="I10" s="90">
        <v>2020</v>
      </c>
      <c r="J10" s="90">
        <v>2021</v>
      </c>
      <c r="K10" s="90">
        <v>2022</v>
      </c>
    </row>
    <row r="11" spans="1:12" ht="14.4" x14ac:dyDescent="0.25">
      <c r="A11" s="396" t="s">
        <v>110</v>
      </c>
      <c r="B11" s="397"/>
      <c r="C11" s="397"/>
      <c r="D11" s="397"/>
      <c r="E11" s="397"/>
      <c r="F11" s="122" t="s">
        <v>43</v>
      </c>
      <c r="H11" s="90" t="s">
        <v>115</v>
      </c>
      <c r="I11" s="98">
        <v>352742432</v>
      </c>
      <c r="J11" s="98">
        <v>382620171</v>
      </c>
      <c r="K11" s="98">
        <v>401061586</v>
      </c>
    </row>
    <row r="12" spans="1:12" ht="28.8" x14ac:dyDescent="0.25">
      <c r="A12" s="77"/>
      <c r="B12" s="76" t="s">
        <v>105</v>
      </c>
      <c r="C12" s="76" t="s">
        <v>106</v>
      </c>
      <c r="D12" s="76" t="s">
        <v>107</v>
      </c>
      <c r="E12" s="76" t="s">
        <v>108</v>
      </c>
      <c r="F12" s="78" t="s">
        <v>17</v>
      </c>
      <c r="H12" s="90" t="s">
        <v>116</v>
      </c>
      <c r="I12" s="98">
        <v>53925172</v>
      </c>
      <c r="J12" s="98">
        <v>51152721</v>
      </c>
      <c r="K12" s="98">
        <v>59167227</v>
      </c>
    </row>
    <row r="13" spans="1:12" ht="14.4" x14ac:dyDescent="0.25">
      <c r="A13" s="79" t="s">
        <v>109</v>
      </c>
      <c r="B13" s="67">
        <v>76785000</v>
      </c>
      <c r="C13" s="67">
        <v>31337356</v>
      </c>
      <c r="D13" s="67">
        <v>8477528</v>
      </c>
      <c r="E13" s="67">
        <v>53925172</v>
      </c>
      <c r="F13" s="120">
        <v>53925172</v>
      </c>
      <c r="H13" s="97" t="s">
        <v>117</v>
      </c>
      <c r="I13" s="98">
        <v>5717125</v>
      </c>
      <c r="J13" s="98">
        <v>3812873</v>
      </c>
      <c r="K13" s="98">
        <v>4669208</v>
      </c>
    </row>
    <row r="14" spans="1:12" ht="14.4" x14ac:dyDescent="0.25">
      <c r="A14" s="79" t="s">
        <v>114</v>
      </c>
      <c r="B14" s="67">
        <v>63052600</v>
      </c>
      <c r="C14" s="67">
        <v>18774349</v>
      </c>
      <c r="D14" s="67">
        <f>6857806+16664</f>
        <v>6874470</v>
      </c>
      <c r="E14" s="67">
        <f>+B14-C14+D14</f>
        <v>51152721</v>
      </c>
      <c r="F14" s="120">
        <f>+E14</f>
        <v>51152721</v>
      </c>
    </row>
    <row r="15" spans="1:12" ht="15" thickBot="1" x14ac:dyDescent="0.3">
      <c r="A15" s="80" t="s">
        <v>113</v>
      </c>
      <c r="B15" s="92">
        <v>63565000</v>
      </c>
      <c r="C15" s="92">
        <v>9687299</v>
      </c>
      <c r="D15" s="92">
        <v>5289526</v>
      </c>
      <c r="E15" s="92">
        <f>+B15-C15+D15</f>
        <v>59167227</v>
      </c>
      <c r="F15" s="121">
        <f>+E15</f>
        <v>59167227</v>
      </c>
    </row>
    <row r="16" spans="1:12" ht="16.2" thickBot="1" x14ac:dyDescent="0.3">
      <c r="A16" s="65"/>
      <c r="B16" s="65"/>
      <c r="C16" s="65"/>
      <c r="D16" s="65"/>
      <c r="E16" s="65"/>
      <c r="F16" s="86"/>
    </row>
    <row r="17" spans="1:12" ht="15" thickBot="1" x14ac:dyDescent="0.3">
      <c r="A17" s="127"/>
      <c r="B17" s="128"/>
      <c r="C17" s="129" t="s">
        <v>138</v>
      </c>
      <c r="D17" s="398" t="s">
        <v>111</v>
      </c>
      <c r="E17" s="398"/>
      <c r="F17" s="83" t="s">
        <v>43</v>
      </c>
      <c r="G17" s="28"/>
      <c r="L17" s="13"/>
    </row>
    <row r="18" spans="1:12" ht="28.8" x14ac:dyDescent="0.25">
      <c r="A18" s="130"/>
      <c r="B18" s="71" t="s">
        <v>105</v>
      </c>
      <c r="C18" s="71" t="s">
        <v>107</v>
      </c>
      <c r="D18" s="71" t="s">
        <v>106</v>
      </c>
      <c r="E18" s="131" t="s">
        <v>107</v>
      </c>
      <c r="F18" s="124" t="s">
        <v>17</v>
      </c>
      <c r="G18" s="28"/>
      <c r="H18" s="66"/>
      <c r="K18"/>
      <c r="L18" s="13"/>
    </row>
    <row r="19" spans="1:12" ht="14.4" x14ac:dyDescent="0.25">
      <c r="A19" s="79" t="s">
        <v>109</v>
      </c>
      <c r="B19" s="88"/>
      <c r="C19" s="67">
        <v>6267101</v>
      </c>
      <c r="D19" s="67">
        <v>549976</v>
      </c>
      <c r="E19" s="132"/>
      <c r="F19" s="125">
        <f>+C19-D19+E19</f>
        <v>5717125</v>
      </c>
      <c r="G19" s="28"/>
      <c r="H19" s="66"/>
      <c r="K19"/>
      <c r="L19" s="13"/>
    </row>
    <row r="20" spans="1:12" ht="14.4" x14ac:dyDescent="0.25">
      <c r="A20" s="79" t="s">
        <v>112</v>
      </c>
      <c r="B20" s="88"/>
      <c r="C20" s="67">
        <v>4257061</v>
      </c>
      <c r="D20" s="67">
        <v>577957</v>
      </c>
      <c r="E20" s="132">
        <v>133769</v>
      </c>
      <c r="F20" s="125">
        <f t="shared" ref="F20:F21" si="0">+C20-D20+E20</f>
        <v>3812873</v>
      </c>
      <c r="G20" s="28"/>
      <c r="H20" s="66"/>
      <c r="K20"/>
      <c r="L20" s="13"/>
    </row>
    <row r="21" spans="1:12" ht="15" thickBot="1" x14ac:dyDescent="0.3">
      <c r="A21" s="80" t="s">
        <v>113</v>
      </c>
      <c r="B21" s="91"/>
      <c r="C21" s="92">
        <v>5239256</v>
      </c>
      <c r="D21" s="92">
        <v>570048</v>
      </c>
      <c r="E21" s="133"/>
      <c r="F21" s="126">
        <f t="shared" si="0"/>
        <v>4669208</v>
      </c>
      <c r="H21" s="66"/>
      <c r="K21"/>
    </row>
    <row r="23" spans="1:12" x14ac:dyDescent="0.25">
      <c r="C23" s="13"/>
      <c r="D23" s="13"/>
      <c r="E23" s="13"/>
    </row>
  </sheetData>
  <mergeCells count="3">
    <mergeCell ref="A5:E5"/>
    <mergeCell ref="A11:E11"/>
    <mergeCell ref="D17:E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3"/>
  <sheetViews>
    <sheetView workbookViewId="0">
      <selection activeCell="H28" sqref="H28"/>
    </sheetView>
  </sheetViews>
  <sheetFormatPr defaultRowHeight="13.2" x14ac:dyDescent="0.25"/>
  <cols>
    <col min="1" max="1" width="2.88671875" customWidth="1"/>
    <col min="2" max="2" width="66.44140625" customWidth="1"/>
    <col min="3" max="3" width="10.6640625" bestFit="1" customWidth="1"/>
  </cols>
  <sheetData>
    <row r="1" spans="1:3" ht="12.75" customHeight="1" x14ac:dyDescent="0.25">
      <c r="A1" s="352" t="s">
        <v>128</v>
      </c>
      <c r="B1" s="352"/>
      <c r="C1" s="352"/>
    </row>
    <row r="2" spans="1:3" ht="27.75" customHeight="1" x14ac:dyDescent="0.25">
      <c r="A2" s="352"/>
      <c r="B2" s="352"/>
      <c r="C2" s="352"/>
    </row>
    <row r="3" spans="1:3" ht="13.8" thickBot="1" x14ac:dyDescent="0.3">
      <c r="C3" s="183" t="s">
        <v>43</v>
      </c>
    </row>
    <row r="4" spans="1:3" ht="15" customHeight="1" thickBot="1" x14ac:dyDescent="0.3">
      <c r="A4" s="399" t="s">
        <v>139</v>
      </c>
      <c r="B4" s="400"/>
      <c r="C4" s="134">
        <v>2023</v>
      </c>
    </row>
    <row r="5" spans="1:3" ht="15" customHeight="1" thickBot="1" x14ac:dyDescent="0.3">
      <c r="A5" s="29" t="s">
        <v>64</v>
      </c>
      <c r="B5" s="30" t="s">
        <v>177</v>
      </c>
      <c r="C5" s="32">
        <f>+-188646703-5904556</f>
        <v>-194551259</v>
      </c>
    </row>
    <row r="6" spans="1:3" ht="15" customHeight="1" thickBot="1" x14ac:dyDescent="0.3">
      <c r="A6" s="29" t="s">
        <v>65</v>
      </c>
      <c r="B6" s="30" t="s">
        <v>125</v>
      </c>
      <c r="C6" s="32">
        <v>-4837095</v>
      </c>
    </row>
    <row r="7" spans="1:3" ht="15" customHeight="1" thickBot="1" x14ac:dyDescent="0.3">
      <c r="A7" s="29" t="s">
        <v>70</v>
      </c>
      <c r="B7" s="30" t="s">
        <v>126</v>
      </c>
      <c r="C7" s="32">
        <f>2965575-9945199</f>
        <v>-6979624</v>
      </c>
    </row>
    <row r="8" spans="1:3" ht="15" customHeight="1" thickBot="1" x14ac:dyDescent="0.3">
      <c r="A8" s="29" t="s">
        <v>68</v>
      </c>
      <c r="B8" s="30" t="s">
        <v>78</v>
      </c>
      <c r="C8" s="32">
        <v>-16800287</v>
      </c>
    </row>
    <row r="9" spans="1:3" ht="15" customHeight="1" thickBot="1" x14ac:dyDescent="0.3">
      <c r="A9" s="29" t="s">
        <v>66</v>
      </c>
      <c r="B9" s="30" t="s">
        <v>176</v>
      </c>
      <c r="C9" s="32">
        <v>-42158065</v>
      </c>
    </row>
    <row r="10" spans="1:3" ht="15" customHeight="1" thickBot="1" x14ac:dyDescent="0.3">
      <c r="A10" s="29" t="s">
        <v>71</v>
      </c>
      <c r="B10" s="30" t="s">
        <v>19</v>
      </c>
      <c r="C10" s="32">
        <v>-1268176</v>
      </c>
    </row>
    <row r="11" spans="1:3" ht="15" customHeight="1" thickBot="1" x14ac:dyDescent="0.3">
      <c r="A11" s="29" t="s">
        <v>67</v>
      </c>
      <c r="B11" s="30" t="s">
        <v>79</v>
      </c>
      <c r="C11" s="32">
        <v>-95377</v>
      </c>
    </row>
    <row r="12" spans="1:3" ht="15" customHeight="1" thickBot="1" x14ac:dyDescent="0.3">
      <c r="A12" s="29" t="s">
        <v>69</v>
      </c>
      <c r="B12" s="30" t="s">
        <v>151</v>
      </c>
      <c r="C12" s="32">
        <v>-10131830</v>
      </c>
    </row>
    <row r="13" spans="1:3" ht="15" customHeight="1" thickBot="1" x14ac:dyDescent="0.3">
      <c r="A13" s="399" t="s">
        <v>17</v>
      </c>
      <c r="B13" s="400"/>
      <c r="C13" s="33">
        <f>SUM(C5:C12)</f>
        <v>-276821713</v>
      </c>
    </row>
  </sheetData>
  <mergeCells count="3">
    <mergeCell ref="A4:B4"/>
    <mergeCell ref="A13:B13"/>
    <mergeCell ref="A1:C2"/>
  </mergeCells>
  <pageMargins left="0.7" right="0.7" top="0.75" bottom="0.75" header="0.3" footer="0.3"/>
  <pageSetup paperSize="9"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1"/>
  <sheetViews>
    <sheetView workbookViewId="0">
      <selection activeCell="F36" sqref="F36"/>
    </sheetView>
  </sheetViews>
  <sheetFormatPr defaultRowHeight="13.2" x14ac:dyDescent="0.25"/>
  <cols>
    <col min="1" max="1" width="2.88671875" style="27" customWidth="1"/>
    <col min="2" max="2" width="65.6640625" style="4" customWidth="1"/>
    <col min="3" max="4" width="15.6640625" style="107" customWidth="1"/>
    <col min="5" max="5" width="11.109375" bestFit="1" customWidth="1"/>
    <col min="6" max="6" width="31.6640625" customWidth="1"/>
    <col min="7" max="7" width="11.88671875" bestFit="1" customWidth="1"/>
  </cols>
  <sheetData>
    <row r="1" spans="1:7" x14ac:dyDescent="0.25">
      <c r="A1" s="352" t="s">
        <v>152</v>
      </c>
      <c r="B1" s="352"/>
      <c r="C1" s="352"/>
      <c r="D1" s="352"/>
    </row>
    <row r="2" spans="1:7" ht="15.6" x14ac:dyDescent="0.25">
      <c r="A2" s="352"/>
      <c r="B2" s="352"/>
      <c r="C2" s="352"/>
      <c r="D2" s="352"/>
      <c r="F2" s="372" t="s">
        <v>178</v>
      </c>
      <c r="G2" s="372"/>
    </row>
    <row r="3" spans="1:7" ht="13.8" thickBot="1" x14ac:dyDescent="0.3">
      <c r="D3" s="137" t="s">
        <v>43</v>
      </c>
    </row>
    <row r="4" spans="1:7" ht="15" customHeight="1" thickBot="1" x14ac:dyDescent="0.3">
      <c r="A4" s="401" t="s">
        <v>80</v>
      </c>
      <c r="B4" s="402"/>
      <c r="C4" s="135">
        <v>2023</v>
      </c>
      <c r="D4" s="134">
        <v>2022</v>
      </c>
      <c r="F4" s="185" t="s">
        <v>182</v>
      </c>
      <c r="G4" s="186">
        <v>-3678651</v>
      </c>
    </row>
    <row r="5" spans="1:7" ht="15" customHeight="1" thickBot="1" x14ac:dyDescent="0.3">
      <c r="A5" s="100" t="s">
        <v>64</v>
      </c>
      <c r="B5" s="34" t="s">
        <v>81</v>
      </c>
      <c r="C5" s="32">
        <v>644907708</v>
      </c>
      <c r="D5" s="32">
        <v>602601583</v>
      </c>
      <c r="F5" s="187" t="s">
        <v>179</v>
      </c>
      <c r="G5" s="188">
        <v>-74160400</v>
      </c>
    </row>
    <row r="6" spans="1:7" ht="15" customHeight="1" thickBot="1" x14ac:dyDescent="0.3">
      <c r="A6" s="403" t="s">
        <v>65</v>
      </c>
      <c r="B6" s="34" t="s">
        <v>84</v>
      </c>
      <c r="C6" s="32">
        <v>3678651</v>
      </c>
      <c r="D6" s="32">
        <v>8180485</v>
      </c>
      <c r="F6" s="187" t="s">
        <v>180</v>
      </c>
      <c r="G6" s="188">
        <v>-112062111</v>
      </c>
    </row>
    <row r="7" spans="1:7" ht="15" customHeight="1" thickBot="1" x14ac:dyDescent="0.3">
      <c r="A7" s="404"/>
      <c r="B7" s="34" t="s">
        <v>82</v>
      </c>
      <c r="C7" s="32">
        <f>173534972+12687539</f>
        <v>186222511</v>
      </c>
      <c r="D7" s="32">
        <v>108312274</v>
      </c>
      <c r="E7" s="13"/>
      <c r="F7" s="189" t="s">
        <v>181</v>
      </c>
      <c r="G7" s="190">
        <v>12687539</v>
      </c>
    </row>
    <row r="8" spans="1:7" ht="15" customHeight="1" thickBot="1" x14ac:dyDescent="0.3">
      <c r="A8" s="100" t="s">
        <v>70</v>
      </c>
      <c r="B8" s="34" t="s">
        <v>83</v>
      </c>
      <c r="C8" s="32">
        <v>17179457</v>
      </c>
      <c r="D8" s="32">
        <v>10200256</v>
      </c>
      <c r="F8" s="189" t="s">
        <v>324</v>
      </c>
      <c r="G8" s="190">
        <f>+(G4+G5+G6+G7)*-1</f>
        <v>177213623</v>
      </c>
    </row>
    <row r="9" spans="1:7" ht="15" customHeight="1" thickBot="1" x14ac:dyDescent="0.3">
      <c r="A9" s="100" t="s">
        <v>68</v>
      </c>
      <c r="B9" s="34" t="s">
        <v>85</v>
      </c>
      <c r="C9" s="32">
        <v>0</v>
      </c>
      <c r="D9" s="32">
        <v>109881</v>
      </c>
    </row>
    <row r="10" spans="1:7" ht="15" customHeight="1" thickBot="1" x14ac:dyDescent="0.3">
      <c r="A10" s="100" t="s">
        <v>66</v>
      </c>
      <c r="B10" s="34" t="s">
        <v>86</v>
      </c>
      <c r="C10" s="32">
        <v>20886891</v>
      </c>
      <c r="D10" s="32">
        <v>14607069</v>
      </c>
    </row>
    <row r="11" spans="1:7" ht="15" customHeight="1" thickBot="1" x14ac:dyDescent="0.3">
      <c r="A11" s="401" t="s">
        <v>17</v>
      </c>
      <c r="B11" s="402"/>
      <c r="C11" s="143">
        <f>SUM(C5:C10)</f>
        <v>872875218</v>
      </c>
      <c r="D11" s="33">
        <f>SUM(D5:D10)-1</f>
        <v>744011547</v>
      </c>
    </row>
  </sheetData>
  <mergeCells count="5">
    <mergeCell ref="F2:G2"/>
    <mergeCell ref="A4:B4"/>
    <mergeCell ref="A11:B11"/>
    <mergeCell ref="A6:A7"/>
    <mergeCell ref="A1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30"/>
  <sheetViews>
    <sheetView topLeftCell="A13" workbookViewId="0">
      <selection activeCell="E50" sqref="E50"/>
    </sheetView>
  </sheetViews>
  <sheetFormatPr defaultColWidth="51.88671875" defaultRowHeight="13.2" x14ac:dyDescent="0.25"/>
  <cols>
    <col min="1" max="1" width="34.88671875" bestFit="1" customWidth="1"/>
    <col min="2" max="2" width="15.6640625" customWidth="1"/>
    <col min="3" max="3" width="15.6640625" style="31" customWidth="1"/>
    <col min="4" max="4" width="15.44140625" bestFit="1" customWidth="1"/>
  </cols>
  <sheetData>
    <row r="1" spans="1:6" ht="15.6" x14ac:dyDescent="0.25">
      <c r="A1" s="372" t="s">
        <v>314</v>
      </c>
      <c r="B1" s="372"/>
      <c r="C1" s="372"/>
      <c r="D1" s="372"/>
    </row>
    <row r="2" spans="1:6" ht="13.8" thickBot="1" x14ac:dyDescent="0.3">
      <c r="A2" s="28"/>
      <c r="B2" s="28"/>
      <c r="C2" s="35"/>
      <c r="D2" s="28"/>
    </row>
    <row r="3" spans="1:6" ht="15" customHeight="1" thickBot="1" x14ac:dyDescent="0.3">
      <c r="A3" s="45" t="s">
        <v>312</v>
      </c>
      <c r="B3" s="46" t="s">
        <v>143</v>
      </c>
      <c r="C3" s="46" t="s">
        <v>103</v>
      </c>
      <c r="D3" s="47" t="s">
        <v>15</v>
      </c>
    </row>
    <row r="4" spans="1:6" ht="15" customHeight="1" x14ac:dyDescent="0.25">
      <c r="A4" s="40" t="s">
        <v>87</v>
      </c>
      <c r="B4" s="111">
        <v>5358679</v>
      </c>
      <c r="C4" s="111">
        <v>1261852</v>
      </c>
      <c r="D4" s="41">
        <v>5673964</v>
      </c>
    </row>
    <row r="5" spans="1:6" ht="15" customHeight="1" x14ac:dyDescent="0.25">
      <c r="A5" s="36" t="s">
        <v>88</v>
      </c>
      <c r="B5" s="111">
        <v>16511400</v>
      </c>
      <c r="C5" s="110">
        <v>49421056</v>
      </c>
      <c r="D5" s="37">
        <v>40393785</v>
      </c>
    </row>
    <row r="6" spans="1:6" ht="15" customHeight="1" x14ac:dyDescent="0.25">
      <c r="A6" s="36" t="s">
        <v>89</v>
      </c>
      <c r="B6" s="111"/>
      <c r="C6" s="110">
        <v>7735019</v>
      </c>
      <c r="D6" s="37">
        <v>735285</v>
      </c>
    </row>
    <row r="7" spans="1:6" ht="15" customHeight="1" x14ac:dyDescent="0.25">
      <c r="A7" s="36" t="s">
        <v>90</v>
      </c>
      <c r="B7" s="111"/>
      <c r="C7" s="110"/>
      <c r="D7" s="37">
        <v>7757017</v>
      </c>
    </row>
    <row r="8" spans="1:6" ht="15" customHeight="1" x14ac:dyDescent="0.25">
      <c r="A8" s="36" t="s">
        <v>1</v>
      </c>
      <c r="B8" s="111">
        <v>9310281</v>
      </c>
      <c r="C8" s="110">
        <v>39921768</v>
      </c>
      <c r="D8" s="37">
        <v>13118294</v>
      </c>
    </row>
    <row r="9" spans="1:6" ht="15" customHeight="1" x14ac:dyDescent="0.25">
      <c r="A9" s="108" t="s">
        <v>0</v>
      </c>
      <c r="B9" s="111">
        <v>5462573</v>
      </c>
      <c r="C9" s="112">
        <v>7947891</v>
      </c>
      <c r="D9" s="109"/>
    </row>
    <row r="10" spans="1:6" ht="15" customHeight="1" x14ac:dyDescent="0.25">
      <c r="A10" s="108" t="s">
        <v>5</v>
      </c>
      <c r="B10" s="111">
        <v>7049532</v>
      </c>
      <c r="C10" s="112">
        <v>2630957</v>
      </c>
      <c r="D10" s="109"/>
    </row>
    <row r="11" spans="1:6" ht="15" customHeight="1" thickBot="1" x14ac:dyDescent="0.3">
      <c r="A11" s="38" t="s">
        <v>92</v>
      </c>
      <c r="B11" s="331"/>
      <c r="C11" s="113"/>
      <c r="D11" s="39">
        <v>1014488</v>
      </c>
    </row>
    <row r="12" spans="1:6" ht="15" customHeight="1" thickBot="1" x14ac:dyDescent="0.3">
      <c r="A12" s="42"/>
      <c r="B12" s="329"/>
      <c r="C12" s="43"/>
      <c r="D12" s="44"/>
    </row>
    <row r="13" spans="1:6" ht="15" customHeight="1" thickBot="1" x14ac:dyDescent="0.3">
      <c r="A13" s="45" t="s">
        <v>311</v>
      </c>
      <c r="B13" s="334" t="s">
        <v>143</v>
      </c>
      <c r="C13" s="46" t="s">
        <v>103</v>
      </c>
      <c r="D13" s="47" t="s">
        <v>15</v>
      </c>
    </row>
    <row r="14" spans="1:6" ht="15" customHeight="1" x14ac:dyDescent="0.25">
      <c r="A14" s="48" t="s">
        <v>91</v>
      </c>
      <c r="B14" s="330">
        <v>44554388</v>
      </c>
      <c r="C14" s="111">
        <v>41551691</v>
      </c>
      <c r="D14" s="41">
        <v>28271453</v>
      </c>
      <c r="F14" s="119"/>
    </row>
    <row r="15" spans="1:6" ht="15" customHeight="1" x14ac:dyDescent="0.25">
      <c r="A15" s="36" t="s">
        <v>4</v>
      </c>
      <c r="B15" s="330">
        <v>6048203</v>
      </c>
      <c r="C15" s="110">
        <v>2764465</v>
      </c>
      <c r="D15" s="37">
        <v>6175999</v>
      </c>
      <c r="F15" s="119"/>
    </row>
    <row r="16" spans="1:6" ht="15" customHeight="1" x14ac:dyDescent="0.25">
      <c r="A16" s="36" t="s">
        <v>3</v>
      </c>
      <c r="B16" s="330">
        <v>27960425</v>
      </c>
      <c r="C16" s="110">
        <v>25844337</v>
      </c>
      <c r="D16" s="37">
        <v>17230635</v>
      </c>
    </row>
    <row r="17" spans="1:4" ht="15" customHeight="1" x14ac:dyDescent="0.25">
      <c r="A17" s="36" t="s">
        <v>2</v>
      </c>
      <c r="B17" s="330">
        <v>10682721</v>
      </c>
      <c r="C17" s="110">
        <v>8751072</v>
      </c>
      <c r="D17" s="37">
        <v>6706972</v>
      </c>
    </row>
    <row r="18" spans="1:4" ht="15" customHeight="1" x14ac:dyDescent="0.25">
      <c r="A18" s="36" t="s">
        <v>93</v>
      </c>
      <c r="B18" s="330">
        <v>7702115</v>
      </c>
      <c r="C18" s="110">
        <v>16347648</v>
      </c>
      <c r="D18" s="37">
        <v>8801764</v>
      </c>
    </row>
    <row r="19" spans="1:4" ht="15" customHeight="1" x14ac:dyDescent="0.25">
      <c r="A19" s="36" t="s">
        <v>0</v>
      </c>
      <c r="B19" s="330"/>
      <c r="C19" s="110"/>
      <c r="D19" s="37">
        <v>18065763</v>
      </c>
    </row>
    <row r="20" spans="1:4" ht="15" customHeight="1" x14ac:dyDescent="0.25">
      <c r="A20" s="108" t="s">
        <v>92</v>
      </c>
      <c r="B20" s="330">
        <v>8375798</v>
      </c>
      <c r="C20" s="112">
        <v>2975029</v>
      </c>
      <c r="D20" s="109"/>
    </row>
    <row r="21" spans="1:4" ht="15" customHeight="1" x14ac:dyDescent="0.25">
      <c r="A21" s="108" t="s">
        <v>89</v>
      </c>
      <c r="B21" s="330">
        <v>2003924</v>
      </c>
      <c r="C21" s="112"/>
      <c r="D21" s="109"/>
    </row>
    <row r="22" spans="1:4" ht="15" customHeight="1" x14ac:dyDescent="0.25">
      <c r="A22" s="108" t="s">
        <v>90</v>
      </c>
      <c r="B22" s="330">
        <v>5916233</v>
      </c>
      <c r="C22" s="112">
        <v>4900499</v>
      </c>
      <c r="D22" s="109"/>
    </row>
    <row r="23" spans="1:4" ht="15" customHeight="1" thickBot="1" x14ac:dyDescent="0.3">
      <c r="A23" s="38" t="s">
        <v>5</v>
      </c>
      <c r="B23" s="333"/>
      <c r="C23" s="113"/>
      <c r="D23" s="39">
        <v>3940709</v>
      </c>
    </row>
    <row r="24" spans="1:4" ht="15" customHeight="1" x14ac:dyDescent="0.25">
      <c r="A24" s="49"/>
      <c r="B24" s="49"/>
      <c r="C24" s="50"/>
      <c r="D24" s="49"/>
    </row>
    <row r="25" spans="1:4" ht="15" customHeight="1" x14ac:dyDescent="0.25">
      <c r="A25" s="28"/>
      <c r="B25" s="332"/>
      <c r="C25" s="35"/>
      <c r="D25" s="28"/>
    </row>
    <row r="26" spans="1:4" x14ac:dyDescent="0.25">
      <c r="A26" s="28"/>
      <c r="B26" s="332"/>
      <c r="C26" s="35"/>
      <c r="D26" s="28"/>
    </row>
    <row r="27" spans="1:4" x14ac:dyDescent="0.25">
      <c r="A27" s="28"/>
      <c r="B27" s="28"/>
      <c r="C27" s="35"/>
      <c r="D27" s="28"/>
    </row>
    <row r="28" spans="1:4" x14ac:dyDescent="0.25">
      <c r="A28" s="28"/>
      <c r="B28" s="28"/>
      <c r="C28" s="35"/>
      <c r="D28" s="28"/>
    </row>
    <row r="29" spans="1:4" x14ac:dyDescent="0.25">
      <c r="B29" s="119"/>
    </row>
    <row r="30" spans="1:4" x14ac:dyDescent="0.25">
      <c r="B30" s="11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workbookViewId="0">
      <selection activeCell="F35" sqref="F35"/>
    </sheetView>
  </sheetViews>
  <sheetFormatPr defaultColWidth="9.109375" defaultRowHeight="13.2" x14ac:dyDescent="0.25"/>
  <cols>
    <col min="1" max="1" width="42.6640625" style="3" customWidth="1"/>
    <col min="2" max="3" width="11.6640625" style="7" bestFit="1" customWidth="1"/>
    <col min="4" max="4" width="11.6640625" style="2" bestFit="1" customWidth="1"/>
    <col min="5" max="5" width="10.88671875" style="2" bestFit="1" customWidth="1"/>
    <col min="6" max="6" width="62.44140625" style="2" customWidth="1"/>
    <col min="7" max="7" width="11.6640625" style="116" bestFit="1" customWidth="1"/>
    <col min="8" max="8" width="9.109375" style="2"/>
    <col min="9" max="9" width="9.109375" style="2" bestFit="1" customWidth="1"/>
    <col min="10" max="16384" width="9.109375" style="2"/>
  </cols>
  <sheetData>
    <row r="1" spans="1:8" x14ac:dyDescent="0.25">
      <c r="B1" s="352" t="s">
        <v>174</v>
      </c>
      <c r="C1" s="352"/>
      <c r="D1" s="352"/>
      <c r="E1" s="352"/>
      <c r="F1" s="352"/>
    </row>
    <row r="2" spans="1:8" x14ac:dyDescent="0.25">
      <c r="B2" s="352"/>
      <c r="C2" s="352"/>
      <c r="D2" s="352"/>
      <c r="E2" s="352"/>
      <c r="F2" s="352"/>
    </row>
    <row r="4" spans="1:8" s="10" customFormat="1" x14ac:dyDescent="0.25">
      <c r="A4" s="2"/>
      <c r="B4" s="2"/>
      <c r="C4" s="7"/>
      <c r="D4" s="7"/>
      <c r="G4" s="116"/>
    </row>
    <row r="5" spans="1:8" s="10" customFormat="1" ht="12.75" customHeight="1" x14ac:dyDescent="0.25">
      <c r="A5" s="405" t="s">
        <v>20</v>
      </c>
      <c r="B5" s="405">
        <v>2023</v>
      </c>
      <c r="C5" s="405"/>
      <c r="D5" s="405"/>
      <c r="F5" s="405" t="s">
        <v>29</v>
      </c>
      <c r="G5" s="406" t="s">
        <v>14</v>
      </c>
    </row>
    <row r="6" spans="1:8" s="10" customFormat="1" ht="15" customHeight="1" x14ac:dyDescent="0.25">
      <c r="A6" s="405"/>
      <c r="B6" s="1" t="s">
        <v>36</v>
      </c>
      <c r="C6" s="114" t="s">
        <v>37</v>
      </c>
      <c r="D6" s="114" t="s">
        <v>38</v>
      </c>
      <c r="E6" s="12"/>
      <c r="F6" s="405" t="s">
        <v>30</v>
      </c>
      <c r="G6" s="406"/>
    </row>
    <row r="7" spans="1:8" s="10" customFormat="1" ht="15" customHeight="1" x14ac:dyDescent="0.25">
      <c r="A7" s="9" t="s">
        <v>9</v>
      </c>
      <c r="B7" s="11">
        <v>43327924</v>
      </c>
      <c r="C7" s="11">
        <v>461500</v>
      </c>
      <c r="D7" s="11">
        <v>43789424</v>
      </c>
      <c r="E7" s="12"/>
      <c r="F7" s="9" t="s">
        <v>30</v>
      </c>
      <c r="G7" s="11">
        <v>89956106</v>
      </c>
    </row>
    <row r="8" spans="1:8" s="10" customFormat="1" ht="15" customHeight="1" x14ac:dyDescent="0.25">
      <c r="A8" s="9" t="s">
        <v>21</v>
      </c>
      <c r="B8" s="11">
        <v>17819404</v>
      </c>
      <c r="C8" s="11">
        <v>12328438</v>
      </c>
      <c r="D8" s="11">
        <v>30147842</v>
      </c>
      <c r="E8" s="12"/>
      <c r="F8" s="9" t="s">
        <v>31</v>
      </c>
      <c r="G8" s="11">
        <v>-14835300</v>
      </c>
    </row>
    <row r="9" spans="1:8" s="10" customFormat="1" ht="15" customHeight="1" x14ac:dyDescent="0.25">
      <c r="A9" s="9" t="s">
        <v>11</v>
      </c>
      <c r="B9" s="11">
        <v>49618418</v>
      </c>
      <c r="C9" s="11">
        <v>1513840</v>
      </c>
      <c r="D9" s="11">
        <v>51132258</v>
      </c>
      <c r="E9" s="12"/>
      <c r="F9" s="9" t="s">
        <v>32</v>
      </c>
      <c r="G9" s="11">
        <v>-17310524</v>
      </c>
    </row>
    <row r="10" spans="1:8" s="10" customFormat="1" ht="15" customHeight="1" x14ac:dyDescent="0.25">
      <c r="A10" s="9" t="s">
        <v>135</v>
      </c>
      <c r="B10" s="11">
        <v>38592163</v>
      </c>
      <c r="C10" s="11">
        <v>198000</v>
      </c>
      <c r="D10" s="11">
        <v>38790163</v>
      </c>
      <c r="E10" s="12"/>
      <c r="F10" s="9" t="s">
        <v>33</v>
      </c>
      <c r="G10" s="11">
        <v>-272071</v>
      </c>
    </row>
    <row r="11" spans="1:8" s="10" customFormat="1" ht="15" customHeight="1" x14ac:dyDescent="0.25">
      <c r="A11" s="9" t="s">
        <v>13</v>
      </c>
      <c r="B11" s="11">
        <v>40502084</v>
      </c>
      <c r="C11" s="11">
        <v>3385000</v>
      </c>
      <c r="D11" s="11">
        <v>43887084</v>
      </c>
      <c r="E11" s="12"/>
      <c r="F11" s="9" t="s">
        <v>173</v>
      </c>
      <c r="G11" s="11">
        <v>61528</v>
      </c>
    </row>
    <row r="12" spans="1:8" s="10" customFormat="1" ht="15" customHeight="1" x14ac:dyDescent="0.25">
      <c r="A12" s="9" t="s">
        <v>12</v>
      </c>
      <c r="B12" s="11">
        <v>21167731</v>
      </c>
      <c r="C12" s="11">
        <v>3892120</v>
      </c>
      <c r="D12" s="11">
        <v>25059851</v>
      </c>
      <c r="E12" s="12"/>
      <c r="F12" s="9" t="s">
        <v>24</v>
      </c>
      <c r="G12" s="11">
        <v>-595342</v>
      </c>
    </row>
    <row r="13" spans="1:8" s="10" customFormat="1" ht="15" customHeight="1" x14ac:dyDescent="0.25">
      <c r="A13" s="9" t="s">
        <v>22</v>
      </c>
      <c r="B13" s="11"/>
      <c r="C13" s="11">
        <v>494004</v>
      </c>
      <c r="D13" s="11">
        <v>494004</v>
      </c>
      <c r="E13" s="12"/>
      <c r="F13" s="9" t="s">
        <v>134</v>
      </c>
      <c r="G13" s="11">
        <f>372437602+80406892+24200840</f>
        <v>477045334</v>
      </c>
    </row>
    <row r="14" spans="1:8" s="10" customFormat="1" ht="15" customHeight="1" x14ac:dyDescent="0.25">
      <c r="A14" s="9" t="s">
        <v>10</v>
      </c>
      <c r="B14" s="11"/>
      <c r="C14" s="11">
        <v>52114492.700000003</v>
      </c>
      <c r="D14" s="11">
        <v>52114492.700000003</v>
      </c>
      <c r="E14" s="12"/>
      <c r="F14" s="9" t="s">
        <v>34</v>
      </c>
      <c r="G14" s="11">
        <v>66837796</v>
      </c>
    </row>
    <row r="15" spans="1:8" s="10" customFormat="1" ht="26.4" x14ac:dyDescent="0.25">
      <c r="A15" s="9" t="s">
        <v>23</v>
      </c>
      <c r="B15" s="11">
        <v>12607611</v>
      </c>
      <c r="C15" s="11">
        <v>162711214</v>
      </c>
      <c r="D15" s="11">
        <f t="shared" ref="D15" si="0">SUM(B15:C15)</f>
        <v>175318825</v>
      </c>
      <c r="E15" s="12"/>
      <c r="F15" s="117" t="s">
        <v>132</v>
      </c>
      <c r="G15" s="11">
        <v>10305392</v>
      </c>
    </row>
    <row r="16" spans="1:8" s="10" customFormat="1" ht="30" customHeight="1" x14ac:dyDescent="0.25">
      <c r="A16" s="9" t="s">
        <v>25</v>
      </c>
      <c r="B16" s="11"/>
      <c r="C16" s="11">
        <v>10000000</v>
      </c>
      <c r="D16" s="11">
        <v>10000000</v>
      </c>
      <c r="E16" s="12"/>
      <c r="F16" s="6" t="s">
        <v>35</v>
      </c>
      <c r="G16" s="5">
        <f>SUM(G7:G15)</f>
        <v>611192919</v>
      </c>
      <c r="H16" s="8"/>
    </row>
    <row r="17" spans="1:9" s="10" customFormat="1" ht="15" customHeight="1" x14ac:dyDescent="0.25">
      <c r="A17" s="9" t="s">
        <v>26</v>
      </c>
      <c r="B17" s="11">
        <v>7000000</v>
      </c>
      <c r="C17" s="11"/>
      <c r="D17" s="11">
        <v>7000000</v>
      </c>
      <c r="E17" s="7"/>
      <c r="F17" s="2"/>
      <c r="G17" s="116"/>
      <c r="H17" s="2"/>
    </row>
    <row r="18" spans="1:9" s="10" customFormat="1" ht="15" customHeight="1" x14ac:dyDescent="0.25">
      <c r="A18" s="9" t="s">
        <v>27</v>
      </c>
      <c r="B18" s="11">
        <v>0</v>
      </c>
      <c r="C18" s="11">
        <v>3100000</v>
      </c>
      <c r="D18" s="11">
        <v>3100000</v>
      </c>
      <c r="E18" s="2"/>
      <c r="F18" s="2"/>
      <c r="G18" s="116"/>
      <c r="H18" s="2"/>
    </row>
    <row r="19" spans="1:9" s="10" customFormat="1" ht="15" customHeight="1" x14ac:dyDescent="0.25">
      <c r="A19" s="9" t="s">
        <v>28</v>
      </c>
      <c r="B19" s="11">
        <v>22916618</v>
      </c>
      <c r="C19" s="11">
        <v>0</v>
      </c>
      <c r="D19" s="11">
        <v>22916618</v>
      </c>
      <c r="E19" s="2"/>
      <c r="F19" s="2"/>
      <c r="G19" s="116"/>
      <c r="H19" s="2"/>
    </row>
    <row r="20" spans="1:9" s="10" customFormat="1" ht="15" customHeight="1" x14ac:dyDescent="0.25">
      <c r="A20" s="9" t="s">
        <v>129</v>
      </c>
      <c r="B20" s="11"/>
      <c r="C20" s="11">
        <f>79903412-303</f>
        <v>79903109</v>
      </c>
      <c r="D20" s="11">
        <f t="shared" ref="D20" si="1">SUM(B20:C20)</f>
        <v>79903109</v>
      </c>
      <c r="E20" s="2"/>
      <c r="F20" s="2"/>
      <c r="G20" s="116"/>
      <c r="H20" s="2"/>
      <c r="I20" s="2"/>
    </row>
    <row r="21" spans="1:9" s="10" customFormat="1" ht="15" customHeight="1" x14ac:dyDescent="0.25">
      <c r="A21" s="9" t="s">
        <v>130</v>
      </c>
      <c r="B21" s="11"/>
      <c r="C21" s="11">
        <v>7539248.0099999998</v>
      </c>
      <c r="D21" s="11">
        <v>7539248.0099999998</v>
      </c>
      <c r="E21" s="2"/>
      <c r="F21" s="2"/>
      <c r="G21" s="116"/>
      <c r="H21" s="2"/>
      <c r="I21" s="2"/>
    </row>
    <row r="22" spans="1:9" ht="26.4" x14ac:dyDescent="0.25">
      <c r="A22" s="115" t="s">
        <v>131</v>
      </c>
      <c r="B22" s="11"/>
      <c r="C22" s="11">
        <v>20000000</v>
      </c>
      <c r="D22" s="11">
        <v>20000000</v>
      </c>
    </row>
    <row r="23" spans="1:9" x14ac:dyDescent="0.25">
      <c r="A23" s="6" t="s">
        <v>8</v>
      </c>
      <c r="B23" s="5">
        <f>SUM(B7:B21)</f>
        <v>253551953</v>
      </c>
      <c r="C23" s="5">
        <f>SUM(C7:C22)</f>
        <v>357640965.70999998</v>
      </c>
      <c r="D23" s="5">
        <f>SUM(D7:D22)</f>
        <v>611192918.71000004</v>
      </c>
    </row>
  </sheetData>
  <mergeCells count="5">
    <mergeCell ref="A5:A6"/>
    <mergeCell ref="B5:D5"/>
    <mergeCell ref="F5:F6"/>
    <mergeCell ref="G5:G6"/>
    <mergeCell ref="B1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20-21. táblázat</vt:lpstr>
      <vt:lpstr>22. táblázat</vt:lpstr>
      <vt:lpstr>23. táblázat</vt:lpstr>
      <vt:lpstr>24. táblázat</vt:lpstr>
      <vt:lpstr>21-22. táblázat</vt:lpstr>
      <vt:lpstr>25.táblázat</vt:lpstr>
      <vt:lpstr>26-27. táblázat</vt:lpstr>
      <vt:lpstr>28. táblázat</vt:lpstr>
      <vt:lpstr>29-30. táblázat</vt:lpstr>
      <vt:lpstr>Függelék_6.melléklet</vt:lpstr>
      <vt:lpstr>Függelék_7. melléklet</vt:lpstr>
      <vt:lpstr>Függelék_9.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Kóta Melinda</cp:lastModifiedBy>
  <cp:revision>1</cp:revision>
  <cp:lastPrinted>2022-05-20T09:01:55Z</cp:lastPrinted>
  <dcterms:created xsi:type="dcterms:W3CDTF">2021-05-07T20:29:37Z</dcterms:created>
  <dcterms:modified xsi:type="dcterms:W3CDTF">2023-05-24T08:37:04Z</dcterms:modified>
  <cp:category/>
</cp:coreProperties>
</file>