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ta.melinda\Desktop\BDPK_2023\BDPK Intézeti Tanács_2023\IT_2023_05_26_jelenléti\"/>
    </mc:Choice>
  </mc:AlternateContent>
  <bookViews>
    <workbookView xWindow="0" yWindow="0" windowWidth="23040" windowHeight="8616" firstSheet="6" activeTab="8"/>
  </bookViews>
  <sheets>
    <sheet name="1. táblázat" sheetId="26" r:id="rId1"/>
    <sheet name="2. táblázat" sheetId="5" r:id="rId2"/>
    <sheet name="3. táblázat" sheetId="11" r:id="rId3"/>
    <sheet name="4. táblázat" sheetId="18" r:id="rId4"/>
    <sheet name="5. táblázat" sheetId="19" r:id="rId5"/>
    <sheet name="6. táblázat" sheetId="12" r:id="rId6"/>
    <sheet name="7.8.9.10.11. táblázat" sheetId="13" r:id="rId7"/>
    <sheet name="12. táblázat" sheetId="20" r:id="rId8"/>
    <sheet name="13. táblázat" sheetId="16" r:id="rId9"/>
    <sheet name="14. táblázat" sheetId="21" r:id="rId10"/>
    <sheet name="15. táblázat" sheetId="22" r:id="rId11"/>
    <sheet name="16. táblázat" sheetId="23" r:id="rId12"/>
    <sheet name="17. táblázat" sheetId="25" r:id="rId13"/>
    <sheet name="18. táblázat" sheetId="17" r:id="rId14"/>
    <sheet name="19. táblázat" sheetId="24" r:id="rId15"/>
  </sheets>
  <externalReferences>
    <externalReference r:id="rId16"/>
    <externalReference r:id="rId17"/>
  </externalReferences>
  <calcPr calcId="162913"/>
</workbook>
</file>

<file path=xl/calcChain.xml><?xml version="1.0" encoding="utf-8"?>
<calcChain xmlns="http://schemas.openxmlformats.org/spreadsheetml/2006/main">
  <c r="C38" i="19" l="1"/>
  <c r="E26" i="18" l="1"/>
  <c r="B94" i="19" l="1"/>
  <c r="D94" i="19"/>
  <c r="E94" i="19"/>
  <c r="F94" i="19"/>
  <c r="D91" i="19"/>
  <c r="B91" i="19"/>
  <c r="D25" i="18" l="1"/>
  <c r="B25" i="18"/>
  <c r="F25" i="18" l="1"/>
  <c r="F25" i="25" l="1"/>
  <c r="F26" i="25" s="1"/>
  <c r="E25" i="25"/>
  <c r="E26" i="25" s="1"/>
  <c r="D25" i="25"/>
  <c r="D26" i="25" s="1"/>
  <c r="C25" i="25"/>
  <c r="C26" i="25" s="1"/>
  <c r="D9" i="26" l="1"/>
  <c r="C9" i="26"/>
  <c r="C10" i="26" s="1"/>
  <c r="D8" i="26"/>
  <c r="E8" i="26" s="1"/>
  <c r="D7" i="26"/>
  <c r="D10" i="26" s="1"/>
  <c r="E10" i="26" s="1"/>
  <c r="D6" i="26"/>
  <c r="D11" i="26" s="1"/>
  <c r="C6" i="26"/>
  <c r="E5" i="26"/>
  <c r="C4" i="26"/>
  <c r="E4" i="26" s="1"/>
  <c r="E9" i="26" l="1"/>
  <c r="E6" i="26"/>
  <c r="E7" i="26"/>
  <c r="C13" i="11"/>
  <c r="C19" i="11" s="1"/>
  <c r="H30" i="13" l="1"/>
  <c r="H31" i="13"/>
  <c r="H32" i="13"/>
  <c r="H33" i="13"/>
  <c r="H34" i="13"/>
  <c r="H35" i="13"/>
  <c r="G37" i="13"/>
  <c r="G38" i="13"/>
  <c r="E22" i="24"/>
  <c r="C22" i="24"/>
  <c r="D21" i="24"/>
  <c r="F21" i="24" s="1"/>
  <c r="F20" i="24"/>
  <c r="F19" i="24"/>
  <c r="B19" i="24"/>
  <c r="B22" i="24" s="1"/>
  <c r="F18" i="24"/>
  <c r="D17" i="24"/>
  <c r="F17" i="24" s="1"/>
  <c r="F16" i="24"/>
  <c r="F15" i="24"/>
  <c r="F14" i="24"/>
  <c r="F13" i="24"/>
  <c r="F12" i="24"/>
  <c r="F11" i="24"/>
  <c r="F10" i="24"/>
  <c r="F9" i="24"/>
  <c r="D8" i="24"/>
  <c r="F7" i="24"/>
  <c r="F6" i="24"/>
  <c r="F5" i="24"/>
  <c r="F4" i="24"/>
  <c r="I37" i="13" l="1"/>
  <c r="D22" i="24"/>
  <c r="F8" i="24"/>
  <c r="F22" i="24" s="1"/>
  <c r="B8" i="17"/>
  <c r="B7" i="17"/>
  <c r="D56" i="19" l="1"/>
  <c r="C56" i="19"/>
  <c r="D38" i="19"/>
  <c r="F18" i="11" l="1"/>
  <c r="F16" i="11"/>
  <c r="F13" i="11"/>
  <c r="D19" i="11"/>
  <c r="F19" i="11" l="1"/>
  <c r="E15" i="11"/>
  <c r="E19" i="11" s="1"/>
  <c r="K16" i="23" l="1"/>
  <c r="J16" i="23"/>
  <c r="I16" i="23"/>
  <c r="H16" i="23"/>
  <c r="G16" i="23"/>
  <c r="F16" i="23"/>
  <c r="E16" i="23"/>
  <c r="D16" i="23"/>
  <c r="C16" i="23"/>
  <c r="B16" i="23"/>
  <c r="K14" i="23"/>
  <c r="J14" i="23"/>
  <c r="I14" i="23"/>
  <c r="H14" i="23"/>
  <c r="G14" i="23"/>
  <c r="F14" i="23"/>
  <c r="E14" i="23"/>
  <c r="D14" i="23"/>
  <c r="C14" i="23"/>
  <c r="B14" i="23"/>
  <c r="K5" i="23"/>
  <c r="J5" i="23"/>
  <c r="I5" i="23"/>
  <c r="H5" i="23"/>
  <c r="G5" i="23"/>
  <c r="F5" i="23"/>
  <c r="E5" i="23"/>
  <c r="D5" i="23"/>
  <c r="C5" i="23"/>
  <c r="B5" i="23"/>
  <c r="C36" i="22"/>
  <c r="B36" i="22"/>
  <c r="C19" i="22"/>
  <c r="B19" i="22"/>
  <c r="F20" i="23" l="1"/>
  <c r="G20" i="23"/>
  <c r="D20" i="23"/>
  <c r="E20" i="23"/>
  <c r="B20" i="23"/>
  <c r="C20" i="23"/>
  <c r="I20" i="23"/>
  <c r="J20" i="23"/>
  <c r="K20" i="23"/>
  <c r="H20" i="23"/>
  <c r="D27" i="22"/>
  <c r="D15" i="22"/>
  <c r="D8" i="22"/>
  <c r="D9" i="22"/>
  <c r="D6" i="22"/>
  <c r="D10" i="22"/>
  <c r="D13" i="22"/>
  <c r="D18" i="22"/>
  <c r="D33" i="22"/>
  <c r="D14" i="22"/>
  <c r="C26" i="18"/>
  <c r="B26" i="18"/>
  <c r="D24" i="18"/>
  <c r="F24" i="18" s="1"/>
  <c r="D23" i="18"/>
  <c r="F23" i="18" s="1"/>
  <c r="D22" i="18"/>
  <c r="F22" i="18" s="1"/>
  <c r="D21" i="18"/>
  <c r="F21" i="18" s="1"/>
  <c r="D20" i="18"/>
  <c r="F20" i="18" s="1"/>
  <c r="E19" i="18"/>
  <c r="D19" i="18"/>
  <c r="F19" i="18" s="1"/>
  <c r="D18" i="18"/>
  <c r="F18" i="18" s="1"/>
  <c r="D17" i="18"/>
  <c r="F17" i="18" s="1"/>
  <c r="D16" i="18"/>
  <c r="F16" i="18" s="1"/>
  <c r="D15" i="18"/>
  <c r="F15" i="18" s="1"/>
  <c r="D14" i="18"/>
  <c r="F14" i="18" s="1"/>
  <c r="D13" i="18"/>
  <c r="F13" i="18" s="1"/>
  <c r="F26" i="18" s="1"/>
  <c r="D12" i="18"/>
  <c r="F12" i="18" s="1"/>
  <c r="D11" i="18"/>
  <c r="F11" i="18" s="1"/>
  <c r="D10" i="18"/>
  <c r="F10" i="18" s="1"/>
  <c r="D9" i="18"/>
  <c r="F9" i="18" s="1"/>
  <c r="D8" i="18"/>
  <c r="F8" i="18" s="1"/>
  <c r="D7" i="18"/>
  <c r="F7" i="18" s="1"/>
  <c r="D6" i="18"/>
  <c r="F6" i="18" s="1"/>
  <c r="G21" i="21"/>
  <c r="F21" i="21"/>
  <c r="E21" i="21"/>
  <c r="D21" i="21"/>
  <c r="C21" i="21"/>
  <c r="B21" i="21"/>
  <c r="D26" i="18" l="1"/>
  <c r="D19" i="22"/>
  <c r="D36" i="22"/>
  <c r="F93" i="19"/>
  <c r="F92" i="19"/>
  <c r="F91" i="19"/>
  <c r="E90" i="19"/>
  <c r="D90" i="19"/>
  <c r="C90" i="19"/>
  <c r="B90" i="19"/>
  <c r="F89" i="19"/>
  <c r="F88" i="19"/>
  <c r="F87" i="19"/>
  <c r="E86" i="19"/>
  <c r="F86" i="19" s="1"/>
  <c r="F85" i="19"/>
  <c r="D84" i="19"/>
  <c r="C84" i="19"/>
  <c r="B84" i="19"/>
  <c r="F83" i="19"/>
  <c r="F82" i="19"/>
  <c r="F81" i="19"/>
  <c r="F80" i="19"/>
  <c r="F79" i="19"/>
  <c r="E78" i="19"/>
  <c r="D78" i="19"/>
  <c r="C78" i="19"/>
  <c r="B78" i="19"/>
  <c r="F77" i="19"/>
  <c r="F76" i="19"/>
  <c r="F75" i="19"/>
  <c r="E74" i="19"/>
  <c r="D74" i="19"/>
  <c r="C74" i="19"/>
  <c r="B74" i="19"/>
  <c r="F73" i="19"/>
  <c r="F72" i="19"/>
  <c r="F71" i="19"/>
  <c r="E70" i="19"/>
  <c r="D70" i="19"/>
  <c r="C70" i="19"/>
  <c r="B70" i="19"/>
  <c r="F69" i="19"/>
  <c r="F68" i="19"/>
  <c r="F67" i="19"/>
  <c r="E66" i="19"/>
  <c r="D66" i="19"/>
  <c r="C66" i="19"/>
  <c r="B66" i="19"/>
  <c r="F65" i="19"/>
  <c r="F64" i="19"/>
  <c r="F63" i="19"/>
  <c r="F62" i="19"/>
  <c r="F61" i="19"/>
  <c r="F60" i="19"/>
  <c r="E59" i="19"/>
  <c r="D59" i="19"/>
  <c r="C59" i="19"/>
  <c r="B59" i="19"/>
  <c r="F58" i="19"/>
  <c r="F57" i="19"/>
  <c r="F56" i="19"/>
  <c r="E55" i="19"/>
  <c r="D55" i="19"/>
  <c r="C55" i="19"/>
  <c r="B55" i="19"/>
  <c r="F54" i="19"/>
  <c r="E53" i="19"/>
  <c r="D53" i="19"/>
  <c r="C53" i="19"/>
  <c r="B53" i="19"/>
  <c r="F52" i="19"/>
  <c r="F51" i="19"/>
  <c r="F50" i="19"/>
  <c r="E49" i="19"/>
  <c r="D49" i="19"/>
  <c r="C49" i="19"/>
  <c r="B49" i="19"/>
  <c r="F48" i="19"/>
  <c r="F47" i="19"/>
  <c r="F46" i="19"/>
  <c r="E45" i="19"/>
  <c r="D45" i="19"/>
  <c r="C45" i="19"/>
  <c r="B45" i="19"/>
  <c r="F44" i="19"/>
  <c r="F43" i="19"/>
  <c r="F42" i="19"/>
  <c r="E41" i="19"/>
  <c r="D41" i="19"/>
  <c r="C41" i="19"/>
  <c r="B41" i="19"/>
  <c r="F40" i="19"/>
  <c r="F39" i="19"/>
  <c r="F38" i="19"/>
  <c r="E37" i="19"/>
  <c r="D37" i="19"/>
  <c r="C37" i="19"/>
  <c r="C94" i="19" s="1"/>
  <c r="B37" i="19"/>
  <c r="F36" i="19"/>
  <c r="F35" i="19"/>
  <c r="F34" i="19"/>
  <c r="E33" i="19"/>
  <c r="D33" i="19"/>
  <c r="C33" i="19"/>
  <c r="B33" i="19"/>
  <c r="F32" i="19"/>
  <c r="F31" i="19"/>
  <c r="F30" i="19"/>
  <c r="E29" i="19"/>
  <c r="D29" i="19"/>
  <c r="C29" i="19"/>
  <c r="B29" i="19"/>
  <c r="F28" i="19"/>
  <c r="F27" i="19"/>
  <c r="F26" i="19"/>
  <c r="E25" i="19"/>
  <c r="D25" i="19"/>
  <c r="F25" i="19" s="1"/>
  <c r="C25" i="19"/>
  <c r="B25" i="19"/>
  <c r="F24" i="19"/>
  <c r="F23" i="19"/>
  <c r="F22" i="19"/>
  <c r="E21" i="19"/>
  <c r="D21" i="19"/>
  <c r="C21" i="19"/>
  <c r="B21" i="19"/>
  <c r="F20" i="19"/>
  <c r="F19" i="19"/>
  <c r="F18" i="19"/>
  <c r="D17" i="19"/>
  <c r="F17" i="19" s="1"/>
  <c r="E16" i="19"/>
  <c r="C16" i="19"/>
  <c r="B16" i="19"/>
  <c r="F15" i="19"/>
  <c r="F14" i="19"/>
  <c r="F13" i="19"/>
  <c r="F12" i="19"/>
  <c r="E11" i="19"/>
  <c r="D11" i="19"/>
  <c r="F11" i="19" s="1"/>
  <c r="C11" i="19"/>
  <c r="B11" i="19"/>
  <c r="F10" i="19"/>
  <c r="F9" i="19"/>
  <c r="F8" i="19"/>
  <c r="E7" i="19"/>
  <c r="D7" i="19"/>
  <c r="C7" i="19"/>
  <c r="B7" i="19"/>
  <c r="K7" i="5"/>
  <c r="K10" i="5"/>
  <c r="K8" i="5"/>
  <c r="F53" i="19" l="1"/>
  <c r="D16" i="19"/>
  <c r="F21" i="19"/>
  <c r="F49" i="19"/>
  <c r="F55" i="19"/>
  <c r="F74" i="19"/>
  <c r="F41" i="19"/>
  <c r="F37" i="19"/>
  <c r="F66" i="19"/>
  <c r="F33" i="19"/>
  <c r="F59" i="19"/>
  <c r="F7" i="19"/>
  <c r="F29" i="19"/>
  <c r="F78" i="19"/>
  <c r="F16" i="19"/>
  <c r="F45" i="19"/>
  <c r="E84" i="19"/>
  <c r="F84" i="19" s="1"/>
  <c r="F70" i="19"/>
  <c r="F90" i="19"/>
  <c r="K13" i="5"/>
  <c r="C8" i="20" l="1"/>
  <c r="C9" i="20" l="1"/>
  <c r="D20" i="16" l="1"/>
  <c r="B20" i="16"/>
  <c r="E19" i="16"/>
  <c r="E18" i="16"/>
  <c r="E17" i="16"/>
  <c r="E16" i="16"/>
  <c r="E15" i="16"/>
  <c r="E14" i="16"/>
  <c r="E13" i="16"/>
  <c r="E12" i="16"/>
  <c r="E11" i="16"/>
  <c r="E10" i="16"/>
  <c r="E9" i="16"/>
  <c r="E7" i="16"/>
  <c r="E6" i="16"/>
  <c r="E5" i="16"/>
  <c r="E4" i="16"/>
  <c r="E2" i="16"/>
  <c r="E20" i="16" l="1"/>
  <c r="K6" i="5"/>
  <c r="K14" i="5" s="1"/>
  <c r="S34" i="13" l="1"/>
  <c r="R33" i="13" s="1"/>
  <c r="O33" i="13"/>
  <c r="O34" i="13"/>
  <c r="O31" i="13"/>
  <c r="R31" i="13" l="1"/>
  <c r="R32" i="13"/>
  <c r="R30" i="13"/>
  <c r="R36" i="13" l="1"/>
  <c r="D37" i="13" l="1"/>
  <c r="E37" i="13"/>
  <c r="C37" i="13" l="1"/>
  <c r="L32" i="13" l="1"/>
  <c r="L35" i="13" s="1"/>
  <c r="M35" i="13"/>
  <c r="N35" i="13"/>
  <c r="O35" i="13" l="1"/>
  <c r="O32" i="13"/>
  <c r="F23" i="13"/>
  <c r="F24" i="13"/>
  <c r="F25" i="13" s="1"/>
  <c r="E15" i="13"/>
  <c r="F15" i="13" s="1"/>
  <c r="E16" i="13"/>
  <c r="F16" i="13" s="1"/>
  <c r="E6" i="13"/>
  <c r="F6" i="13" s="1"/>
  <c r="E5" i="13"/>
  <c r="F5" i="13" s="1"/>
  <c r="F22" i="13"/>
  <c r="F21" i="13"/>
  <c r="D14" i="13"/>
  <c r="E14" i="13" s="1"/>
  <c r="F14" i="13" s="1"/>
  <c r="D4" i="13"/>
  <c r="E4" i="13" s="1"/>
  <c r="F4" i="13" s="1"/>
  <c r="F17" i="13" l="1"/>
  <c r="F7" i="13"/>
  <c r="C10" i="12" l="1"/>
  <c r="B10" i="12"/>
  <c r="D10" i="12" s="1"/>
  <c r="D9" i="12"/>
  <c r="D8" i="12"/>
  <c r="D6" i="12"/>
  <c r="D5" i="12"/>
  <c r="C4" i="12"/>
  <c r="J13" i="5" l="1"/>
  <c r="J4" i="5" l="1"/>
  <c r="J6" i="5" l="1"/>
  <c r="D9" i="5"/>
  <c r="D11" i="5"/>
  <c r="C11" i="5"/>
  <c r="D14" i="5" l="1"/>
  <c r="C5" i="5"/>
  <c r="D7" i="5" l="1"/>
  <c r="D5" i="5" l="1"/>
  <c r="C8" i="5" l="1"/>
  <c r="D8" i="5" l="1"/>
  <c r="C14" i="5" l="1"/>
  <c r="C15" i="5" l="1"/>
</calcChain>
</file>

<file path=xl/sharedStrings.xml><?xml version="1.0" encoding="utf-8"?>
<sst xmlns="http://schemas.openxmlformats.org/spreadsheetml/2006/main" count="513" uniqueCount="292">
  <si>
    <t>Összesen</t>
  </si>
  <si>
    <t>1.</t>
  </si>
  <si>
    <t>Maradvány forrás összesen</t>
  </si>
  <si>
    <t>Források mindösszesen</t>
  </si>
  <si>
    <t>Dologi kiadások (üzemeltetetés és informatika nélkül)</t>
  </si>
  <si>
    <t>Üzemeltetési dologi kiadások</t>
  </si>
  <si>
    <t>Kiadások mindösszesen</t>
  </si>
  <si>
    <t>KARI EGYENLEG</t>
  </si>
  <si>
    <t xml:space="preserve">Kötelezően tervezendő telefonköltség </t>
  </si>
  <si>
    <t xml:space="preserve">Személyi kiadások </t>
  </si>
  <si>
    <t>BDPK (SSITTNEMEI munkaszám kizárásával)</t>
  </si>
  <si>
    <t>Tényadatok(üzemeltetetési személyivel együtt)</t>
  </si>
  <si>
    <t>2022. évi forrás összesen 1. sz. melléklet</t>
  </si>
  <si>
    <t>2022 évi támogatás</t>
  </si>
  <si>
    <t>2.</t>
  </si>
  <si>
    <t>3.</t>
  </si>
  <si>
    <t>4.</t>
  </si>
  <si>
    <t>5.</t>
  </si>
  <si>
    <t>2022. évi módosított előírányzat</t>
  </si>
  <si>
    <t>BDPK költségvetésének főszámai</t>
  </si>
  <si>
    <t>I.</t>
  </si>
  <si>
    <t>II.</t>
  </si>
  <si>
    <t xml:space="preserve"> </t>
  </si>
  <si>
    <t>Források összesen (I.+II.)</t>
  </si>
  <si>
    <t>Személyi kiadások</t>
  </si>
  <si>
    <t>Üzemeltetési költségek</t>
  </si>
  <si>
    <t>III.</t>
  </si>
  <si>
    <t>2022. terv</t>
  </si>
  <si>
    <t>Kari kiválósági</t>
  </si>
  <si>
    <t>IV.</t>
  </si>
  <si>
    <t>VI.</t>
  </si>
  <si>
    <t>Kari pozíció</t>
  </si>
  <si>
    <t>Kiadások összesen (I+II+III+IV+V)</t>
  </si>
  <si>
    <t>V.</t>
  </si>
  <si>
    <t>Eltérés</t>
  </si>
  <si>
    <t>Kis szakok</t>
  </si>
  <si>
    <t>Nemzetiségi képzés</t>
  </si>
  <si>
    <t>Anyanyelvi lektorok</t>
  </si>
  <si>
    <t>Művészeti gyakorlóhely</t>
  </si>
  <si>
    <t>Speciális támogatások</t>
  </si>
  <si>
    <t>Ft</t>
  </si>
  <si>
    <t>Rezsi továbbszámlázás</t>
  </si>
  <si>
    <t>Bevételi jogcímek</t>
  </si>
  <si>
    <t>Ténybevétel</t>
  </si>
  <si>
    <t>Tervezett</t>
  </si>
  <si>
    <t>Bizt.fiz.kártérítés</t>
  </si>
  <si>
    <t>Elldíj- NEM -nem nep</t>
  </si>
  <si>
    <t>Elldíj- Nept-egyéb</t>
  </si>
  <si>
    <t>T.e.bérbead</t>
  </si>
  <si>
    <t>Végösszeg</t>
  </si>
  <si>
    <t xml:space="preserve">Támogatási bevétel alakulása </t>
  </si>
  <si>
    <t>átoktatás előtt</t>
  </si>
  <si>
    <t>átadott átoktatás</t>
  </si>
  <si>
    <t>kapott átoktatás</t>
  </si>
  <si>
    <t>átoktatás után</t>
  </si>
  <si>
    <t>2020. évi tény</t>
  </si>
  <si>
    <t>2021. évi tény_SAP kimutatás alapján</t>
  </si>
  <si>
    <t>Önköltséges bevételek</t>
  </si>
  <si>
    <t>2021 évi számított bevételek</t>
  </si>
  <si>
    <t xml:space="preserve">Egyéb bevételek </t>
  </si>
  <si>
    <t>összesen</t>
  </si>
  <si>
    <t>2021. évi tény</t>
  </si>
  <si>
    <t>2022. évi terv</t>
  </si>
  <si>
    <t>2022. évi tény*</t>
  </si>
  <si>
    <t>*Kancellária: Elszámolás 3 a melléklet kari támogatás elszámolás arányai- TÉNY_2022 12 09 SH jav</t>
  </si>
  <si>
    <t xml:space="preserve">Eltérés bruttó (+ bevétel/ - bevételi hiány) </t>
  </si>
  <si>
    <t>TÁTK</t>
  </si>
  <si>
    <t>PPK</t>
  </si>
  <si>
    <t>IK</t>
  </si>
  <si>
    <t>TTK</t>
  </si>
  <si>
    <t>TKK</t>
  </si>
  <si>
    <t>TÓK</t>
  </si>
  <si>
    <t>Átadott átoktatás</t>
  </si>
  <si>
    <t>Átoktatás</t>
  </si>
  <si>
    <t>Százalék</t>
  </si>
  <si>
    <t>Pályázó neve</t>
  </si>
  <si>
    <t>Elnyert támogatás összege (Ft)</t>
  </si>
  <si>
    <t>Megvalósult tevékenység</t>
  </si>
  <si>
    <t>Felhasználás (Ft)</t>
  </si>
  <si>
    <t>Tóth Gábor Antal és Péntek Kálmán</t>
  </si>
  <si>
    <r>
      <rPr>
        <b/>
        <sz val="10"/>
        <color theme="1"/>
        <rFont val="Garamond"/>
        <family val="1"/>
        <charset val="238"/>
      </rPr>
      <t xml:space="preserve">Nyomtatott kötet: </t>
    </r>
    <r>
      <rPr>
        <sz val="10"/>
        <color theme="1"/>
        <rFont val="Garamond"/>
        <family val="1"/>
        <charset val="238"/>
      </rPr>
      <t>Savaria Természettudományi és Sporttudományi szemle 20. kötet</t>
    </r>
  </si>
  <si>
    <t>Tóth Gábor Antal</t>
  </si>
  <si>
    <r>
      <t xml:space="preserve">Nyomtatott kötet: </t>
    </r>
    <r>
      <rPr>
        <sz val="10"/>
        <color theme="1"/>
        <rFont val="Garamond"/>
        <family val="1"/>
        <charset val="238"/>
      </rPr>
      <t xml:space="preserve">ELTE Savaria BDPK Folia Anthropologica 17. kötet </t>
    </r>
  </si>
  <si>
    <t>Unger Zoltán</t>
  </si>
  <si>
    <t>Kutatási eredmények bemutatása az AAPG Europe Chapter konferenciáján</t>
  </si>
  <si>
    <t>Kovács Zsolt</t>
  </si>
  <si>
    <r>
      <rPr>
        <b/>
        <sz val="10"/>
        <rFont val="Garamond"/>
        <family val="1"/>
        <charset val="238"/>
      </rPr>
      <t>Kutatómunka támogatása:</t>
    </r>
    <r>
      <rPr>
        <sz val="10"/>
        <color theme="1"/>
        <rFont val="Garamond"/>
        <family val="1"/>
        <charset val="238"/>
      </rPr>
      <t xml:space="preserve"> Ketogén táplálékkiegészítő hatásának vizsgálatához anyagbeszerzés</t>
    </r>
  </si>
  <si>
    <t>Baranyai Gábor</t>
  </si>
  <si>
    <r>
      <rPr>
        <b/>
        <sz val="10"/>
        <color theme="1"/>
        <rFont val="Garamond"/>
        <family val="1"/>
        <charset val="238"/>
      </rPr>
      <t xml:space="preserve">Kutatómunka támogatása: </t>
    </r>
    <r>
      <rPr>
        <sz val="10"/>
        <color theme="1"/>
        <rFont val="Garamond"/>
        <family val="1"/>
        <charset val="238"/>
      </rPr>
      <t>A klíma globális változásának tanulmányozása, összehasonlító anyagok készítése</t>
    </r>
  </si>
  <si>
    <t>Tóth Péter</t>
  </si>
  <si>
    <r>
      <rPr>
        <b/>
        <sz val="10"/>
        <color theme="1"/>
        <rFont val="Garamond"/>
        <family val="1"/>
        <charset val="238"/>
      </rPr>
      <t xml:space="preserve">Könyvkiadás: </t>
    </r>
    <r>
      <rPr>
        <sz val="10"/>
        <color theme="1"/>
        <rFont val="Garamond"/>
        <family val="1"/>
        <charset val="238"/>
      </rPr>
      <t>Szülőföld, nyelv, tudomány: Nyelvészeti tanulmányok</t>
    </r>
  </si>
  <si>
    <r>
      <t xml:space="preserve">Könykiadásra átcsoportosítás: </t>
    </r>
    <r>
      <rPr>
        <sz val="10"/>
        <color theme="1"/>
        <rFont val="Garamond"/>
        <family val="1"/>
        <charset val="238"/>
      </rPr>
      <t>Szülőföld, nyelv, tudomány: Nyelvészeti tanulmányok</t>
    </r>
  </si>
  <si>
    <t>Balogh Eszter</t>
  </si>
  <si>
    <r>
      <rPr>
        <b/>
        <sz val="10"/>
        <color theme="1"/>
        <rFont val="Garamond"/>
        <family val="1"/>
        <charset val="238"/>
      </rPr>
      <t>Kutatómunka támogatás:</t>
    </r>
    <r>
      <rPr>
        <sz val="10"/>
        <color theme="1"/>
        <rFont val="Garamond"/>
        <family val="1"/>
        <charset val="238"/>
      </rPr>
      <t xml:space="preserve"> Doktori disszertációhoz szakirodalom beszerzés, valamint kuktatóút Skóciába</t>
    </r>
  </si>
  <si>
    <t>Czetter Ibolya</t>
  </si>
  <si>
    <r>
      <rPr>
        <b/>
        <sz val="10"/>
        <color theme="1"/>
        <rFont val="Garamond"/>
        <family val="1"/>
        <charset val="238"/>
      </rPr>
      <t xml:space="preserve">Hallgatói kiválósági munka támogatása: </t>
    </r>
    <r>
      <rPr>
        <sz val="10"/>
        <color theme="1"/>
        <rFont val="Garamond"/>
        <family val="1"/>
        <charset val="238"/>
      </rPr>
      <t xml:space="preserve">Szinesztézia Egyetemi Színpad </t>
    </r>
  </si>
  <si>
    <t>Mala József</t>
  </si>
  <si>
    <r>
      <t xml:space="preserve">Tananyagkidolgozás támogatása: </t>
    </r>
    <r>
      <rPr>
        <sz val="10"/>
        <color theme="1"/>
        <rFont val="Garamond"/>
        <family val="1"/>
        <charset val="238"/>
      </rPr>
      <t>Valószínűségszámítás 2 elektronikus tanaynagának kidolgozása</t>
    </r>
  </si>
  <si>
    <t>Kovács Gábor</t>
  </si>
  <si>
    <r>
      <t>Eszközfejlesztés:</t>
    </r>
    <r>
      <rPr>
        <sz val="10"/>
        <color theme="1"/>
        <rFont val="Garamond"/>
        <family val="1"/>
        <charset val="238"/>
      </rPr>
      <t xml:space="preserve"> Centiméter pontosságú mérések eléréséért, kutatómunka támogatása</t>
    </r>
  </si>
  <si>
    <t>Tóth Csaba</t>
  </si>
  <si>
    <r>
      <t xml:space="preserve">Nyomtatott kötet: </t>
    </r>
    <r>
      <rPr>
        <sz val="10"/>
        <color theme="1"/>
        <rFont val="Garamond"/>
        <family val="1"/>
        <charset val="238"/>
      </rPr>
      <t xml:space="preserve">A mi sziklás Madonnánk </t>
    </r>
  </si>
  <si>
    <t>Németh László</t>
  </si>
  <si>
    <r>
      <t>Elektronikus leírások elkészítése:</t>
    </r>
    <r>
      <rPr>
        <sz val="10"/>
        <rFont val="Garamond"/>
        <family val="1"/>
        <charset val="238"/>
      </rPr>
      <t xml:space="preserve"> jegyzőkönyv minták a Természettudományi gyakorlatok tárgy méréseihez</t>
    </r>
  </si>
  <si>
    <t>Murber Ibolya</t>
  </si>
  <si>
    <t>Nem valósult  meg</t>
  </si>
  <si>
    <t>Szinetár Csaba</t>
  </si>
  <si>
    <r>
      <t xml:space="preserve">Nyomtatott kötet: </t>
    </r>
    <r>
      <rPr>
        <sz val="10"/>
        <rFont val="Garamond"/>
        <family val="1"/>
        <charset val="238"/>
      </rPr>
      <t>Magyarország védett pókjai</t>
    </r>
  </si>
  <si>
    <t>Baráth Kornél</t>
  </si>
  <si>
    <r>
      <t xml:space="preserve">Eszközbeszerzés: </t>
    </r>
    <r>
      <rPr>
        <sz val="10"/>
        <rFont val="Garamond"/>
        <family val="1"/>
        <charset val="238"/>
      </rPr>
      <t>Kőszegi-hegység mohaflórájának a felméréséhez</t>
    </r>
  </si>
  <si>
    <t>Bordács Andrea</t>
  </si>
  <si>
    <t>Tedd láthatóvá! - Illusztráció és vizualizáció_könyvkiadás</t>
  </si>
  <si>
    <r>
      <rPr>
        <b/>
        <sz val="10"/>
        <rFont val="Garamond"/>
        <family val="1"/>
        <charset val="238"/>
      </rPr>
      <t>Kutatómunka</t>
    </r>
    <r>
      <rPr>
        <sz val="10"/>
        <rFont val="Garamond"/>
        <family val="1"/>
        <charset val="238"/>
      </rPr>
      <t xml:space="preserve"> támogatása</t>
    </r>
  </si>
  <si>
    <t>Tanszékek kiadásai művészeti gyakorlóhely támogatásból</t>
  </si>
  <si>
    <t>Művészeti gyakorlóhelyhez támogatáshoz kötött tanszék megnevezése</t>
  </si>
  <si>
    <t>Felhasználás</t>
  </si>
  <si>
    <t>Személyi</t>
  </si>
  <si>
    <t>Dologi</t>
  </si>
  <si>
    <t>Beruházás</t>
  </si>
  <si>
    <t>Vizuális Művészet Tanszék</t>
  </si>
  <si>
    <t>Zenepedagógiai Tanszék</t>
  </si>
  <si>
    <t>Maradványkorrekciós tétel megnevezése</t>
  </si>
  <si>
    <t>Összege (Ft)</t>
  </si>
  <si>
    <t>Közterületesítés elszámolás</t>
  </si>
  <si>
    <t xml:space="preserve">Szombathelyi képzések fejlesztése </t>
  </si>
  <si>
    <t>2023. évi speciális támogatások</t>
  </si>
  <si>
    <t>Kari kiválósági keretek 2022. év végi költhető maradványa</t>
  </si>
  <si>
    <t>2022. évi képzési támogatás elszámolás - bruttó - minisztérium által  visszaigazolt  összeg 2022.12.09-i "képzési elszámolás" arányainak (visszafizetés maradványból)</t>
  </si>
  <si>
    <t>2022 évi Stipendium Hungaricum szervezési keret előelszámolás - bruttó - tervezett összeg (előzetes)</t>
  </si>
  <si>
    <t>Elvonások rendezése maradvány források után</t>
  </si>
  <si>
    <t>Oktatási egységek megnevezése</t>
  </si>
  <si>
    <t>Személyi kifizetések</t>
  </si>
  <si>
    <t>ebből pályázati bérkiváltás</t>
  </si>
  <si>
    <t>Angol Nyelv és Irodalom Tanszék</t>
  </si>
  <si>
    <t>Magyar Irodalomtudományi Tanszék</t>
  </si>
  <si>
    <t>Magyar Nyelvtudományi Tanszék</t>
  </si>
  <si>
    <t>Német Nyelvtudományi Tanszék</t>
  </si>
  <si>
    <t>Történelem Tanszék</t>
  </si>
  <si>
    <t>Vizuális Művészeti  Tanszék</t>
  </si>
  <si>
    <t>Szlavisztika Tanszék</t>
  </si>
  <si>
    <t>Biológia Tanszék</t>
  </si>
  <si>
    <t>Fizika iTanszék</t>
  </si>
  <si>
    <t>Földrajzi Tanszék</t>
  </si>
  <si>
    <t>Kémiai Tanszék</t>
  </si>
  <si>
    <t>Matematikai Tanszék</t>
  </si>
  <si>
    <t>BDPK Igazgatói Hivatal</t>
  </si>
  <si>
    <t>BDPK összes</t>
  </si>
  <si>
    <t>Szervezeti egységek</t>
  </si>
  <si>
    <t>Ténykifizetés</t>
  </si>
  <si>
    <t>Szabad  keret</t>
  </si>
  <si>
    <t>Lekötés</t>
  </si>
  <si>
    <t xml:space="preserve"> Költhető</t>
  </si>
  <si>
    <t>Dologi kiadások</t>
  </si>
  <si>
    <t>Munkaadókat terh.jár.és szoch.</t>
  </si>
  <si>
    <t>Személyi juttatások</t>
  </si>
  <si>
    <t>BDPK általános munkaszám</t>
  </si>
  <si>
    <t>Egyéb műk.célú kiadások</t>
  </si>
  <si>
    <t>BDPK hallgatói befizetés</t>
  </si>
  <si>
    <t>Fizika Tanszék</t>
  </si>
  <si>
    <t>Földrajz Tanszék</t>
  </si>
  <si>
    <t>Igazgatói Hivatal</t>
  </si>
  <si>
    <t>Kémia Tanszék</t>
  </si>
  <si>
    <t>Beruházások</t>
  </si>
  <si>
    <t>Matematika Tanszék</t>
  </si>
  <si>
    <t>Német Nyelv és Irodalom Tanszék</t>
  </si>
  <si>
    <t>Ellátottak pénzbeli juttatásai</t>
  </si>
  <si>
    <t>SEK Kíválósági pályázat</t>
  </si>
  <si>
    <t>SEK lektorok</t>
  </si>
  <si>
    <t>Üzemeltetés</t>
  </si>
  <si>
    <t>Felújítások</t>
  </si>
  <si>
    <t>2022***</t>
  </si>
  <si>
    <t xml:space="preserve"> Előirányzatok részletezése 2022. évi felhasználás tükrében</t>
  </si>
  <si>
    <t>2022-as év költhető maradványa         =</t>
  </si>
  <si>
    <t>Előirányzat - Ténykifizetés - Lekötött keret</t>
  </si>
  <si>
    <t>Módosított előirányzat</t>
  </si>
  <si>
    <t>2021**</t>
  </si>
  <si>
    <t>2020*</t>
  </si>
  <si>
    <t>*2019.12.01-2020.11.30</t>
  </si>
  <si>
    <t>**2020.12.01-2021.11.30</t>
  </si>
  <si>
    <t>***2021.12.01-2022.11.30</t>
  </si>
  <si>
    <t>2022. évi maradvány kimutatása</t>
  </si>
  <si>
    <t>2022-es év költhető maradványa         =</t>
  </si>
  <si>
    <t xml:space="preserve">Módosított 
előirányzat </t>
  </si>
  <si>
    <t>Ténykifiztés</t>
  </si>
  <si>
    <t xml:space="preserve">Szabad keret </t>
  </si>
  <si>
    <t>Lekötött keret</t>
  </si>
  <si>
    <t>Költhető maradvány</t>
  </si>
  <si>
    <t>Tárgyévi „nettó” (hozzájárulással terhelt) bevételek</t>
  </si>
  <si>
    <t>2021-as évi maradvány bevonása a finanszírozásba</t>
  </si>
  <si>
    <t>2022. tény</t>
  </si>
  <si>
    <t xml:space="preserve"> 2022. évi maradvány </t>
  </si>
  <si>
    <t>2020.</t>
  </si>
  <si>
    <t>2021.</t>
  </si>
  <si>
    <t>Vizuális Művészeti Tanszék</t>
  </si>
  <si>
    <t>Biológiai Tanszék</t>
  </si>
  <si>
    <t>Dologi kiadások összesen</t>
  </si>
  <si>
    <t>Beruházási kiadások</t>
  </si>
  <si>
    <t>Beruházási kiadások összesen</t>
  </si>
  <si>
    <t>Oktatási egységek 2022-es évi dologi kiadásainak összehasonlítása</t>
  </si>
  <si>
    <t>Oktatási egységek 2022-as évi dologi kiadásainak részletezése</t>
  </si>
  <si>
    <t>Kiadások megnevezése</t>
  </si>
  <si>
    <t>Német Nyelvtud. Tanszék</t>
  </si>
  <si>
    <t>BDPK általános</t>
  </si>
  <si>
    <t>Dologi kiadás</t>
  </si>
  <si>
    <t>Egyéb bérl.díj teljesítése</t>
  </si>
  <si>
    <t xml:space="preserve">Egyéb szolg.biz.nélkül </t>
  </si>
  <si>
    <t>Kikültetési kiad.</t>
  </si>
  <si>
    <t>Muk. célú eloz. Felsz. Áfa</t>
  </si>
  <si>
    <t>Szakm.tev.seg.szolgáltatások</t>
  </si>
  <si>
    <t>Kiszámlázott érték.te</t>
  </si>
  <si>
    <t>Szakmai anyagok</t>
  </si>
  <si>
    <t>Üzemeltetési anyag.ktg</t>
  </si>
  <si>
    <t xml:space="preserve"> Ell. Pénzbeli hozzáj.</t>
  </si>
  <si>
    <t>Szocalapösztdíj</t>
  </si>
  <si>
    <t>Beruházási c. eloz.</t>
  </si>
  <si>
    <t>Egyéb gép, berendezések</t>
  </si>
  <si>
    <t>Vagyoni értéku jogok</t>
  </si>
  <si>
    <t>Magyar Irodalomtud.  Tanszék</t>
  </si>
  <si>
    <t>2020-2022. évi személyi kiadások változása</t>
  </si>
  <si>
    <t>Kötelező minimálbér, garantált bérminimum kiegészítés - 2022 évi felmérés, még itt nem lévő)</t>
  </si>
  <si>
    <t>Oktatók, kutatók, tanárok garantált illetménye növelésének fedezete (2016-2018. év) NAGY TÁBLA SZERINT</t>
  </si>
  <si>
    <t>Kötelező minimálbér, garantált bérminimum kiegészítés</t>
  </si>
  <si>
    <t>6.</t>
  </si>
  <si>
    <t>7.</t>
  </si>
  <si>
    <t>8.</t>
  </si>
  <si>
    <t>9.</t>
  </si>
  <si>
    <t>-</t>
  </si>
  <si>
    <t>Oktatók, kutatók, tanárok 2016-2018 emelésének fedezte többlet</t>
  </si>
  <si>
    <t>Dologi kiadások (üzemeltetetés és informatika nélkül), beruházási kiadások</t>
  </si>
  <si>
    <t>Kiadások összesen (I+II+III)</t>
  </si>
  <si>
    <t>Dologi kiadások, berzházások</t>
  </si>
  <si>
    <t>Dologi kiadások, ell. pénzbeli juttatásai</t>
  </si>
  <si>
    <t xml:space="preserve">Eltérés bruttó (+ kap / - visszafizet) </t>
  </si>
  <si>
    <t>SH bevételek</t>
  </si>
  <si>
    <t>2022. évben fel nem használt támogatási összeg(Ft)</t>
  </si>
  <si>
    <t>Funkcionális egységek</t>
  </si>
  <si>
    <t>Előirányzat</t>
  </si>
  <si>
    <t xml:space="preserve">Költhető </t>
  </si>
  <si>
    <t>AKTHSZHELY</t>
  </si>
  <si>
    <t>Gépjámű üzemeltetés</t>
  </si>
  <si>
    <t>Gazdasági Hivatal</t>
  </si>
  <si>
    <t>Működési kiadások</t>
  </si>
  <si>
    <t>Pályázati Központ</t>
  </si>
  <si>
    <t>Tanulmányi Hivatal</t>
  </si>
  <si>
    <t>Kancellári Kabinet</t>
  </si>
  <si>
    <t>Informatika</t>
  </si>
  <si>
    <t>Campus Iroda</t>
  </si>
  <si>
    <t>Könyvtár</t>
  </si>
  <si>
    <t>Levéltár</t>
  </si>
  <si>
    <t>Tartalékalap</t>
  </si>
  <si>
    <t>2022. évi saját bevételek</t>
  </si>
  <si>
    <t>Célkar</t>
  </si>
  <si>
    <t>Támogatás</t>
  </si>
  <si>
    <t>Önköltség</t>
  </si>
  <si>
    <t>Egyéb</t>
  </si>
  <si>
    <t>Adminkar</t>
  </si>
  <si>
    <t>Stipendium</t>
  </si>
  <si>
    <t>40 év alatti</t>
  </si>
  <si>
    <t>60 év feletti</t>
  </si>
  <si>
    <t>55-60 év</t>
  </si>
  <si>
    <t>40-55 év</t>
  </si>
  <si>
    <t>BDPK 2022. évi terv-tény összehasonlítása</t>
  </si>
  <si>
    <t>2022. évi BDPK összesített költségvetési sémája_Szenátus által jóváhagyott költségvetés</t>
  </si>
  <si>
    <t>Funkcionális egységek 2022. évi előirányzat felhasználás</t>
  </si>
  <si>
    <t>2020-2023. létszámgazdálkodás</t>
  </si>
  <si>
    <t>Munkakör megnevezése</t>
  </si>
  <si>
    <t>BDPK</t>
  </si>
  <si>
    <t>Akadémiai állomány</t>
  </si>
  <si>
    <t>egyetemi docens</t>
  </si>
  <si>
    <t>egyetemi adjunktus</t>
  </si>
  <si>
    <t xml:space="preserve">egyetetmi tanár </t>
  </si>
  <si>
    <t>egyetemi tanársegéd</t>
  </si>
  <si>
    <t>főiskolai docens</t>
  </si>
  <si>
    <t>főiskolai adjunktus</t>
  </si>
  <si>
    <t>főiskolai tanár</t>
  </si>
  <si>
    <t>főiskolai tanársegéd</t>
  </si>
  <si>
    <t>mestertanár</t>
  </si>
  <si>
    <t>művésztanár, testnevelő tanár</t>
  </si>
  <si>
    <t>nyelvtanár</t>
  </si>
  <si>
    <t>tanársegéd</t>
  </si>
  <si>
    <t>tudományos munkatárs</t>
  </si>
  <si>
    <t>tanszéki mérnök</t>
  </si>
  <si>
    <t>főtanácsadó</t>
  </si>
  <si>
    <t>doktorandusz szerz.</t>
  </si>
  <si>
    <t>pszichológus</t>
  </si>
  <si>
    <t>laboráns</t>
  </si>
  <si>
    <t>ügyintéző, ügyvivő</t>
  </si>
  <si>
    <t>Összesen egységenként</t>
  </si>
  <si>
    <t>Összesen éves szinten</t>
  </si>
  <si>
    <t>Kor</t>
  </si>
  <si>
    <t>Férfi</t>
  </si>
  <si>
    <t>Nő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</si>
</sst>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#,##0\ &quot;Ft&quot;;\-#,##0\ &quot;Ft&quot;"/>
    <numFmt numFmtId="43" formatCode="_-* #,##0.00_-;\-* #,##0.00_-;_-* &quot;-&quot;??_-;_-@_-"/>
    <numFmt numFmtId="164" formatCode="_-* #,##0_-;\-* #,##0_-;_-* &quot;-&quot;??_-;_-@_-"/>
    <numFmt numFmtId="165" formatCode="#,##0\ _F_t"/>
    <numFmt numFmtId="166" formatCode="_-* #,##0.00\ _F_t_-;\-* #,##0.00\ _F_t_-;_-* &quot;-&quot;??\ _F_t_-;_-@_-"/>
    <numFmt numFmtId="167" formatCode="yyyy/mm/dd;@"/>
    <numFmt numFmtId="168" formatCode="0.0%"/>
    <numFmt numFmtId="169" formatCode="#,##0\ &quot;Ft&quot;"/>
  </numFmts>
  <fonts count="24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sz val="10"/>
      <color rgb="FFFF0000"/>
      <name val="Garamond"/>
      <family val="1"/>
      <charset val="238"/>
    </font>
    <font>
      <b/>
      <sz val="11"/>
      <name val="Garamond"/>
      <family val="1"/>
      <charset val="238"/>
    </font>
    <font>
      <sz val="11"/>
      <name val="Garamond"/>
      <family val="1"/>
      <charset val="238"/>
    </font>
    <font>
      <sz val="10"/>
      <name val="Arial"/>
      <family val="2"/>
      <charset val="238"/>
    </font>
    <font>
      <b/>
      <sz val="10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sz val="12"/>
      <name val="Arial"/>
      <family val="2"/>
      <charset val="238"/>
    </font>
    <font>
      <sz val="10"/>
      <name val="Arial CE"/>
      <charset val="238"/>
    </font>
    <font>
      <sz val="12"/>
      <name val="Garamond"/>
      <family val="1"/>
      <charset val="238"/>
    </font>
    <font>
      <sz val="10"/>
      <name val="Arial"/>
      <family val="2"/>
      <charset val="238"/>
    </font>
    <font>
      <b/>
      <sz val="12"/>
      <name val="Garamond"/>
      <family val="1"/>
      <charset val="238"/>
    </font>
    <font>
      <sz val="10"/>
      <color rgb="FF000000"/>
      <name val="Garamond"/>
      <family val="1"/>
      <charset val="238"/>
    </font>
    <font>
      <b/>
      <sz val="10"/>
      <color rgb="FF000000"/>
      <name val="Garamond"/>
      <family val="1"/>
      <charset val="238"/>
    </font>
    <font>
      <b/>
      <sz val="10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Garamond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Down">
        <bgColor theme="0" tint="-4.9989318521683403E-2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50"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3" fontId="0" fillId="0" borderId="0" xfId="0" applyNumberFormat="1" applyAlignment="1">
      <alignment vertical="top"/>
    </xf>
    <xf numFmtId="0" fontId="0" fillId="0" borderId="0" xfId="0" applyAlignment="1">
      <alignment vertical="top"/>
    </xf>
    <xf numFmtId="3" fontId="4" fillId="0" borderId="0" xfId="0" applyNumberFormat="1" applyFont="1" applyAlignment="1">
      <alignment vertical="top"/>
    </xf>
    <xf numFmtId="0" fontId="0" fillId="0" borderId="0" xfId="0" applyBorder="1" applyAlignment="1">
      <alignment horizontal="center" vertical="top"/>
    </xf>
    <xf numFmtId="3" fontId="7" fillId="0" borderId="1" xfId="0" applyNumberFormat="1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7" fillId="0" borderId="9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6" fillId="3" borderId="7" xfId="0" applyFont="1" applyFill="1" applyBorder="1" applyAlignment="1">
      <alignment vertical="top"/>
    </xf>
    <xf numFmtId="0" fontId="6" fillId="3" borderId="10" xfId="0" applyFont="1" applyFill="1" applyBorder="1" applyAlignment="1">
      <alignment vertical="top"/>
    </xf>
    <xf numFmtId="3" fontId="8" fillId="3" borderId="8" xfId="0" applyNumberFormat="1" applyFont="1" applyFill="1" applyBorder="1" applyAlignment="1">
      <alignment vertical="top"/>
    </xf>
    <xf numFmtId="3" fontId="6" fillId="4" borderId="1" xfId="0" applyNumberFormat="1" applyFont="1" applyFill="1" applyBorder="1" applyAlignment="1">
      <alignment vertical="top"/>
    </xf>
    <xf numFmtId="0" fontId="7" fillId="0" borderId="1" xfId="0" applyFont="1" applyBorder="1" applyAlignment="1">
      <alignment horizontal="left" vertical="center"/>
    </xf>
    <xf numFmtId="0" fontId="0" fillId="0" borderId="0" xfId="0"/>
    <xf numFmtId="0" fontId="13" fillId="0" borderId="1" xfId="0" applyFont="1" applyFill="1" applyBorder="1" applyAlignment="1">
      <alignment vertical="center" wrapText="1"/>
    </xf>
    <xf numFmtId="0" fontId="7" fillId="0" borderId="11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0" fillId="0" borderId="0" xfId="0" applyBorder="1" applyAlignment="1">
      <alignment vertical="top"/>
    </xf>
    <xf numFmtId="0" fontId="3" fillId="0" borderId="0" xfId="0" applyFont="1" applyBorder="1" applyAlignment="1">
      <alignment vertical="top"/>
    </xf>
    <xf numFmtId="0" fontId="14" fillId="0" borderId="0" xfId="0" applyFont="1" applyAlignment="1">
      <alignment vertical="top"/>
    </xf>
    <xf numFmtId="3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3" fontId="10" fillId="0" borderId="1" xfId="0" applyNumberFormat="1" applyFont="1" applyBorder="1" applyAlignment="1">
      <alignment horizontal="center" vertical="center"/>
    </xf>
    <xf numFmtId="0" fontId="12" fillId="3" borderId="17" xfId="0" applyFont="1" applyFill="1" applyBorder="1" applyAlignment="1">
      <alignment vertical="top"/>
    </xf>
    <xf numFmtId="0" fontId="7" fillId="0" borderId="5" xfId="0" applyFont="1" applyBorder="1" applyAlignment="1">
      <alignment vertical="top"/>
    </xf>
    <xf numFmtId="3" fontId="7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0" fontId="7" fillId="0" borderId="28" xfId="0" applyFont="1" applyBorder="1" applyAlignment="1">
      <alignment vertical="top"/>
    </xf>
    <xf numFmtId="3" fontId="7" fillId="0" borderId="26" xfId="0" applyNumberFormat="1" applyFont="1" applyBorder="1" applyAlignment="1">
      <alignment horizontal="right" vertical="center"/>
    </xf>
    <xf numFmtId="0" fontId="6" fillId="3" borderId="17" xfId="0" applyFont="1" applyFill="1" applyBorder="1" applyAlignment="1">
      <alignment vertical="top"/>
    </xf>
    <xf numFmtId="3" fontId="6" fillId="3" borderId="18" xfId="0" applyNumberFormat="1" applyFont="1" applyFill="1" applyBorder="1" applyAlignment="1">
      <alignment horizontal="right" vertical="center"/>
    </xf>
    <xf numFmtId="3" fontId="6" fillId="3" borderId="19" xfId="0" applyNumberFormat="1" applyFont="1" applyFill="1" applyBorder="1" applyAlignment="1">
      <alignment horizontal="right" vertical="center"/>
    </xf>
    <xf numFmtId="0" fontId="12" fillId="3" borderId="18" xfId="0" applyFont="1" applyFill="1" applyBorder="1" applyAlignment="1">
      <alignment horizontal="center" vertical="top"/>
    </xf>
    <xf numFmtId="0" fontId="12" fillId="3" borderId="19" xfId="0" applyFont="1" applyFill="1" applyBorder="1" applyAlignment="1">
      <alignment horizontal="center" vertical="top"/>
    </xf>
    <xf numFmtId="3" fontId="7" fillId="0" borderId="2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top"/>
    </xf>
    <xf numFmtId="3" fontId="7" fillId="0" borderId="6" xfId="0" applyNumberFormat="1" applyFont="1" applyBorder="1" applyAlignment="1">
      <alignment horizontal="right" vertical="top"/>
    </xf>
    <xf numFmtId="3" fontId="7" fillId="0" borderId="22" xfId="0" applyNumberFormat="1" applyFont="1" applyBorder="1" applyAlignment="1">
      <alignment horizontal="right" vertical="top"/>
    </xf>
    <xf numFmtId="0" fontId="6" fillId="0" borderId="20" xfId="0" applyFont="1" applyBorder="1" applyAlignment="1">
      <alignment vertical="top"/>
    </xf>
    <xf numFmtId="3" fontId="6" fillId="0" borderId="16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horizontal="right" vertical="center"/>
    </xf>
    <xf numFmtId="0" fontId="9" fillId="5" borderId="25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vertical="center"/>
    </xf>
    <xf numFmtId="3" fontId="9" fillId="0" borderId="16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9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top"/>
    </xf>
    <xf numFmtId="3" fontId="10" fillId="0" borderId="26" xfId="0" applyNumberFormat="1" applyFont="1" applyBorder="1" applyAlignment="1">
      <alignment horizontal="center" vertical="center"/>
    </xf>
    <xf numFmtId="3" fontId="9" fillId="5" borderId="25" xfId="0" applyNumberFormat="1" applyFont="1" applyFill="1" applyBorder="1" applyAlignment="1">
      <alignment horizontal="center" vertical="center"/>
    </xf>
    <xf numFmtId="3" fontId="9" fillId="5" borderId="23" xfId="0" applyNumberFormat="1" applyFont="1" applyFill="1" applyBorder="1" applyAlignment="1">
      <alignment vertical="center" wrapText="1"/>
    </xf>
    <xf numFmtId="3" fontId="9" fillId="5" borderId="29" xfId="0" applyNumberFormat="1" applyFont="1" applyFill="1" applyBorder="1" applyAlignment="1">
      <alignment vertical="center" wrapText="1"/>
    </xf>
    <xf numFmtId="3" fontId="9" fillId="5" borderId="19" xfId="0" applyNumberFormat="1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top"/>
    </xf>
    <xf numFmtId="0" fontId="9" fillId="0" borderId="27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26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vertical="center"/>
    </xf>
    <xf numFmtId="0" fontId="10" fillId="6" borderId="26" xfId="0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0" fillId="0" borderId="1" xfId="0" applyBorder="1" applyAlignment="1">
      <alignment vertical="top"/>
    </xf>
    <xf numFmtId="3" fontId="0" fillId="0" borderId="1" xfId="0" applyNumberFormat="1" applyBorder="1" applyAlignment="1">
      <alignment vertical="top"/>
    </xf>
    <xf numFmtId="10" fontId="0" fillId="0" borderId="1" xfId="0" applyNumberFormat="1" applyBorder="1" applyAlignment="1">
      <alignment vertical="top"/>
    </xf>
    <xf numFmtId="10" fontId="0" fillId="0" borderId="0" xfId="0" applyNumberFormat="1" applyBorder="1" applyAlignment="1">
      <alignment vertical="top"/>
    </xf>
    <xf numFmtId="0" fontId="12" fillId="3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64" fontId="13" fillId="0" borderId="1" xfId="1" applyNumberFormat="1" applyFont="1" applyFill="1" applyBorder="1" applyAlignment="1">
      <alignment vertical="center"/>
    </xf>
    <xf numFmtId="164" fontId="13" fillId="0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8" fillId="0" borderId="1" xfId="1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top"/>
    </xf>
    <xf numFmtId="3" fontId="6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top"/>
    </xf>
    <xf numFmtId="164" fontId="12" fillId="5" borderId="1" xfId="1" applyNumberFormat="1" applyFont="1" applyFill="1" applyBorder="1" applyAlignment="1">
      <alignment vertical="center"/>
    </xf>
    <xf numFmtId="168" fontId="0" fillId="0" borderId="0" xfId="0" applyNumberForma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1" xfId="7" applyNumberFormat="1" applyFont="1" applyBorder="1" applyAlignment="1">
      <alignment vertical="top"/>
    </xf>
    <xf numFmtId="9" fontId="0" fillId="0" borderId="0" xfId="9" applyFont="1"/>
    <xf numFmtId="164" fontId="0" fillId="0" borderId="0" xfId="0" applyNumberFormat="1"/>
    <xf numFmtId="0" fontId="19" fillId="8" borderId="25" xfId="0" applyFont="1" applyFill="1" applyBorder="1" applyAlignment="1">
      <alignment horizontal="center" vertical="center"/>
    </xf>
    <xf numFmtId="0" fontId="20" fillId="8" borderId="24" xfId="0" applyFont="1" applyFill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vertical="center" wrapText="1"/>
    </xf>
    <xf numFmtId="3" fontId="19" fillId="0" borderId="34" xfId="0" applyNumberFormat="1" applyFont="1" applyBorder="1" applyAlignment="1">
      <alignment horizontal="right" vertical="center"/>
    </xf>
    <xf numFmtId="0" fontId="19" fillId="0" borderId="34" xfId="0" applyFont="1" applyBorder="1" applyAlignment="1">
      <alignment vertical="center"/>
    </xf>
    <xf numFmtId="0" fontId="21" fillId="8" borderId="33" xfId="0" applyFont="1" applyFill="1" applyBorder="1" applyAlignment="1">
      <alignment horizontal="center" vertical="center"/>
    </xf>
    <xf numFmtId="0" fontId="21" fillId="8" borderId="34" xfId="0" applyFont="1" applyFill="1" applyBorder="1" applyAlignment="1">
      <alignment vertical="center"/>
    </xf>
    <xf numFmtId="3" fontId="20" fillId="8" borderId="34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wrapText="1"/>
    </xf>
    <xf numFmtId="0" fontId="7" fillId="0" borderId="11" xfId="0" applyFont="1" applyBorder="1" applyAlignment="1">
      <alignment horizontal="left" vertical="center"/>
    </xf>
    <xf numFmtId="3" fontId="7" fillId="4" borderId="6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/>
    </xf>
    <xf numFmtId="3" fontId="7" fillId="9" borderId="6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3" fontId="7" fillId="4" borderId="22" xfId="0" applyNumberFormat="1" applyFont="1" applyFill="1" applyBorder="1" applyAlignment="1">
      <alignment horizontal="center" vertical="center"/>
    </xf>
    <xf numFmtId="3" fontId="7" fillId="0" borderId="26" xfId="0" applyNumberFormat="1" applyFont="1" applyBorder="1" applyAlignment="1">
      <alignment horizontal="center" vertical="center"/>
    </xf>
    <xf numFmtId="0" fontId="12" fillId="2" borderId="7" xfId="0" applyFont="1" applyFill="1" applyBorder="1"/>
    <xf numFmtId="3" fontId="12" fillId="2" borderId="8" xfId="0" applyNumberFormat="1" applyFont="1" applyFill="1" applyBorder="1" applyAlignment="1">
      <alignment horizontal="center"/>
    </xf>
    <xf numFmtId="3" fontId="12" fillId="2" borderId="38" xfId="0" applyNumberFormat="1" applyFont="1" applyFill="1" applyBorder="1" applyAlignment="1">
      <alignment horizontal="center"/>
    </xf>
    <xf numFmtId="0" fontId="22" fillId="0" borderId="0" xfId="0" applyFont="1"/>
    <xf numFmtId="0" fontId="7" fillId="0" borderId="0" xfId="0" applyFont="1" applyFill="1" applyBorder="1"/>
    <xf numFmtId="0" fontId="0" fillId="0" borderId="0" xfId="0" applyAlignment="1">
      <alignment horizontal="center"/>
    </xf>
    <xf numFmtId="0" fontId="12" fillId="3" borderId="1" xfId="0" applyFont="1" applyFill="1" applyBorder="1"/>
    <xf numFmtId="3" fontId="12" fillId="3" borderId="1" xfId="0" applyNumberFormat="1" applyFont="1" applyFill="1" applyBorder="1"/>
    <xf numFmtId="0" fontId="13" fillId="0" borderId="1" xfId="0" applyFont="1" applyBorder="1"/>
    <xf numFmtId="3" fontId="13" fillId="0" borderId="1" xfId="0" applyNumberFormat="1" applyFont="1" applyBorder="1"/>
    <xf numFmtId="0" fontId="13" fillId="0" borderId="0" xfId="0" applyFont="1"/>
    <xf numFmtId="3" fontId="13" fillId="0" borderId="0" xfId="0" applyNumberFormat="1" applyFont="1"/>
    <xf numFmtId="0" fontId="13" fillId="0" borderId="1" xfId="0" applyFont="1" applyFill="1" applyBorder="1"/>
    <xf numFmtId="3" fontId="13" fillId="0" borderId="1" xfId="0" applyNumberFormat="1" applyFont="1" applyFill="1" applyBorder="1"/>
    <xf numFmtId="3" fontId="7" fillId="3" borderId="6" xfId="0" applyNumberFormat="1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/>
    </xf>
    <xf numFmtId="0" fontId="7" fillId="0" borderId="0" xfId="0" applyFont="1" applyAlignment="1">
      <alignment vertical="top"/>
    </xf>
    <xf numFmtId="0" fontId="6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top"/>
    </xf>
    <xf numFmtId="169" fontId="7" fillId="0" borderId="1" xfId="0" applyNumberFormat="1" applyFont="1" applyFill="1" applyBorder="1" applyAlignment="1">
      <alignment horizontal="left" vertical="center" wrapText="1"/>
    </xf>
    <xf numFmtId="169" fontId="13" fillId="0" borderId="1" xfId="1" applyNumberFormat="1" applyFont="1" applyFill="1" applyBorder="1" applyAlignment="1">
      <alignment vertical="top"/>
    </xf>
    <xf numFmtId="169" fontId="6" fillId="3" borderId="1" xfId="0" applyNumberFormat="1" applyFont="1" applyFill="1" applyBorder="1" applyAlignment="1">
      <alignment horizontal="left" vertical="center" wrapText="1"/>
    </xf>
    <xf numFmtId="169" fontId="6" fillId="3" borderId="1" xfId="8" applyNumberFormat="1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center" wrapText="1"/>
    </xf>
    <xf numFmtId="164" fontId="6" fillId="0" borderId="0" xfId="8" applyNumberFormat="1" applyFont="1" applyFill="1" applyBorder="1" applyAlignment="1">
      <alignment vertical="top"/>
    </xf>
    <xf numFmtId="169" fontId="7" fillId="0" borderId="1" xfId="0" applyNumberFormat="1" applyFont="1" applyBorder="1" applyAlignment="1">
      <alignment horizontal="left" vertical="top"/>
    </xf>
    <xf numFmtId="169" fontId="6" fillId="3" borderId="1" xfId="0" applyNumberFormat="1" applyFont="1" applyFill="1" applyBorder="1" applyAlignment="1">
      <alignment horizontal="left" vertical="top"/>
    </xf>
    <xf numFmtId="169" fontId="6" fillId="3" borderId="1" xfId="0" applyNumberFormat="1" applyFont="1" applyFill="1" applyBorder="1" applyAlignment="1">
      <alignment vertical="top"/>
    </xf>
    <xf numFmtId="0" fontId="6" fillId="5" borderId="1" xfId="6" applyFont="1" applyFill="1" applyBorder="1" applyAlignment="1">
      <alignment horizontal="center" vertical="center"/>
    </xf>
    <xf numFmtId="0" fontId="6" fillId="5" borderId="1" xfId="6" applyFont="1" applyFill="1" applyBorder="1" applyAlignment="1">
      <alignment horizontal="center" vertical="center" wrapText="1"/>
    </xf>
    <xf numFmtId="0" fontId="12" fillId="11" borderId="1" xfId="6" applyFont="1" applyFill="1" applyBorder="1" applyAlignment="1">
      <alignment horizontal="left" vertical="top"/>
    </xf>
    <xf numFmtId="5" fontId="12" fillId="11" borderId="1" xfId="10" applyNumberFormat="1" applyFont="1" applyFill="1" applyBorder="1" applyAlignment="1">
      <alignment vertical="top"/>
    </xf>
    <xf numFmtId="0" fontId="7" fillId="0" borderId="1" xfId="6" applyFont="1" applyBorder="1" applyAlignment="1">
      <alignment vertical="top"/>
    </xf>
    <xf numFmtId="5" fontId="7" fillId="0" borderId="1" xfId="10" applyNumberFormat="1" applyFont="1" applyBorder="1" applyAlignment="1">
      <alignment vertical="top"/>
    </xf>
    <xf numFmtId="0" fontId="7" fillId="0" borderId="1" xfId="6" applyFont="1" applyFill="1" applyBorder="1" applyAlignment="1">
      <alignment vertical="top"/>
    </xf>
    <xf numFmtId="0" fontId="12" fillId="10" borderId="1" xfId="6" applyFont="1" applyFill="1" applyBorder="1" applyAlignment="1">
      <alignment horizontal="left" vertical="top"/>
    </xf>
    <xf numFmtId="5" fontId="12" fillId="10" borderId="1" xfId="10" applyNumberFormat="1" applyFont="1" applyFill="1" applyBorder="1" applyAlignment="1">
      <alignment vertical="top"/>
    </xf>
    <xf numFmtId="0" fontId="0" fillId="0" borderId="0" xfId="0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top"/>
    </xf>
    <xf numFmtId="1" fontId="0" fillId="0" borderId="0" xfId="0" applyNumberFormat="1" applyAlignment="1">
      <alignment horizontal="right" vertical="center"/>
    </xf>
    <xf numFmtId="1" fontId="6" fillId="5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top"/>
    </xf>
    <xf numFmtId="3" fontId="6" fillId="5" borderId="1" xfId="0" applyNumberFormat="1" applyFont="1" applyFill="1" applyBorder="1" applyAlignment="1">
      <alignment horizontal="right" vertical="center"/>
    </xf>
    <xf numFmtId="167" fontId="12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top"/>
    </xf>
    <xf numFmtId="10" fontId="7" fillId="0" borderId="0" xfId="0" applyNumberFormat="1" applyFont="1" applyBorder="1" applyAlignment="1">
      <alignment vertical="top"/>
    </xf>
    <xf numFmtId="0" fontId="6" fillId="5" borderId="25" xfId="0" applyFont="1" applyFill="1" applyBorder="1" applyAlignment="1">
      <alignment horizontal="center" vertical="top"/>
    </xf>
    <xf numFmtId="10" fontId="6" fillId="5" borderId="25" xfId="0" applyNumberFormat="1" applyFont="1" applyFill="1" applyBorder="1" applyAlignment="1">
      <alignment horizontal="center" vertical="top"/>
    </xf>
    <xf numFmtId="3" fontId="6" fillId="0" borderId="16" xfId="0" applyNumberFormat="1" applyFont="1" applyBorder="1" applyAlignment="1">
      <alignment vertical="top"/>
    </xf>
    <xf numFmtId="0" fontId="6" fillId="0" borderId="16" xfId="0" applyFont="1" applyBorder="1" applyAlignment="1">
      <alignment vertical="top"/>
    </xf>
    <xf numFmtId="10" fontId="6" fillId="0" borderId="16" xfId="0" applyNumberFormat="1" applyFont="1" applyBorder="1" applyAlignment="1">
      <alignment vertical="top"/>
    </xf>
    <xf numFmtId="0" fontId="6" fillId="0" borderId="26" xfId="0" applyFont="1" applyBorder="1" applyAlignment="1">
      <alignment vertical="top"/>
    </xf>
    <xf numFmtId="3" fontId="6" fillId="0" borderId="26" xfId="0" applyNumberFormat="1" applyFont="1" applyBorder="1" applyAlignment="1">
      <alignment vertical="top"/>
    </xf>
    <xf numFmtId="10" fontId="6" fillId="0" borderId="26" xfId="0" applyNumberFormat="1" applyFont="1" applyBorder="1" applyAlignment="1">
      <alignment vertical="top"/>
    </xf>
    <xf numFmtId="3" fontId="6" fillId="5" borderId="25" xfId="0" applyNumberFormat="1" applyFont="1" applyFill="1" applyBorder="1" applyAlignment="1">
      <alignment vertical="top"/>
    </xf>
    <xf numFmtId="10" fontId="6" fillId="5" borderId="25" xfId="0" applyNumberFormat="1" applyFont="1" applyFill="1" applyBorder="1" applyAlignment="1">
      <alignment vertical="top"/>
    </xf>
    <xf numFmtId="10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3" fontId="6" fillId="0" borderId="1" xfId="0" applyNumberFormat="1" applyFont="1" applyBorder="1" applyAlignment="1">
      <alignment horizontal="right" vertical="center"/>
    </xf>
    <xf numFmtId="10" fontId="6" fillId="0" borderId="1" xfId="0" applyNumberFormat="1" applyFont="1" applyBorder="1" applyAlignment="1">
      <alignment horizontal="right" vertical="center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12" fillId="3" borderId="1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right" vertical="center"/>
    </xf>
    <xf numFmtId="0" fontId="12" fillId="5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3" fontId="10" fillId="0" borderId="15" xfId="0" applyNumberFormat="1" applyFont="1" applyBorder="1" applyAlignment="1">
      <alignment horizontal="center" vertical="center"/>
    </xf>
    <xf numFmtId="3" fontId="9" fillId="0" borderId="31" xfId="0" applyNumberFormat="1" applyFont="1" applyBorder="1" applyAlignment="1">
      <alignment horizontal="center" vertical="center"/>
    </xf>
    <xf numFmtId="3" fontId="9" fillId="0" borderId="40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 wrapText="1"/>
    </xf>
    <xf numFmtId="3" fontId="10" fillId="0" borderId="15" xfId="0" applyNumberFormat="1" applyFont="1" applyFill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center" vertical="center"/>
    </xf>
    <xf numFmtId="3" fontId="9" fillId="0" borderId="41" xfId="0" applyNumberFormat="1" applyFont="1" applyBorder="1" applyAlignment="1">
      <alignment horizontal="center" vertical="center"/>
    </xf>
    <xf numFmtId="3" fontId="10" fillId="0" borderId="31" xfId="0" applyNumberFormat="1" applyFont="1" applyFill="1" applyBorder="1" applyAlignment="1">
      <alignment horizontal="center" vertical="center"/>
    </xf>
    <xf numFmtId="3" fontId="10" fillId="0" borderId="31" xfId="0" applyNumberFormat="1" applyFont="1" applyBorder="1" applyAlignment="1">
      <alignment horizontal="center" vertical="center"/>
    </xf>
    <xf numFmtId="3" fontId="9" fillId="0" borderId="42" xfId="0" applyNumberFormat="1" applyFont="1" applyBorder="1" applyAlignment="1">
      <alignment horizontal="center" vertical="center"/>
    </xf>
    <xf numFmtId="3" fontId="10" fillId="0" borderId="31" xfId="0" applyNumberFormat="1" applyFont="1" applyFill="1" applyBorder="1" applyAlignment="1">
      <alignment horizontal="center" vertical="center" wrapText="1"/>
    </xf>
    <xf numFmtId="0" fontId="9" fillId="0" borderId="28" xfId="0" applyFont="1" applyBorder="1" applyAlignment="1">
      <alignment vertical="center"/>
    </xf>
    <xf numFmtId="3" fontId="10" fillId="0" borderId="4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3" fontId="10" fillId="0" borderId="42" xfId="0" applyNumberFormat="1" applyFont="1" applyBorder="1" applyAlignment="1">
      <alignment horizontal="center" vertical="center"/>
    </xf>
    <xf numFmtId="164" fontId="0" fillId="0" borderId="0" xfId="0" applyNumberFormat="1" applyAlignment="1">
      <alignment vertical="top"/>
    </xf>
    <xf numFmtId="164" fontId="12" fillId="7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0" fontId="12" fillId="3" borderId="1" xfId="0" applyFont="1" applyFill="1" applyBorder="1" applyAlignment="1">
      <alignment horizontal="center"/>
    </xf>
    <xf numFmtId="3" fontId="12" fillId="3" borderId="1" xfId="0" applyNumberFormat="1" applyFont="1" applyFill="1" applyBorder="1" applyAlignment="1">
      <alignment horizontal="center"/>
    </xf>
    <xf numFmtId="0" fontId="12" fillId="0" borderId="1" xfId="0" applyFont="1" applyFill="1" applyBorder="1"/>
    <xf numFmtId="169" fontId="13" fillId="0" borderId="1" xfId="0" applyNumberFormat="1" applyFont="1" applyFill="1" applyBorder="1"/>
    <xf numFmtId="169" fontId="12" fillId="3" borderId="1" xfId="0" applyNumberFormat="1" applyFont="1" applyFill="1" applyBorder="1"/>
    <xf numFmtId="0" fontId="3" fillId="0" borderId="0" xfId="0" applyFont="1" applyAlignment="1">
      <alignment vertical="top" wrapText="1"/>
    </xf>
    <xf numFmtId="0" fontId="6" fillId="5" borderId="25" xfId="0" applyFont="1" applyFill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5" borderId="25" xfId="0" applyFont="1" applyFill="1" applyBorder="1" applyAlignment="1">
      <alignment horizontal="center" vertical="center"/>
    </xf>
    <xf numFmtId="169" fontId="7" fillId="0" borderId="30" xfId="0" applyNumberFormat="1" applyFont="1" applyBorder="1" applyAlignment="1">
      <alignment vertical="center"/>
    </xf>
    <xf numFmtId="169" fontId="7" fillId="0" borderId="31" xfId="0" applyNumberFormat="1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169" fontId="7" fillId="0" borderId="42" xfId="0" applyNumberFormat="1" applyFont="1" applyBorder="1" applyAlignment="1">
      <alignment vertical="center"/>
    </xf>
    <xf numFmtId="169" fontId="6" fillId="5" borderId="25" xfId="0" applyNumberFormat="1" applyFont="1" applyFill="1" applyBorder="1" applyAlignment="1">
      <alignment vertical="center"/>
    </xf>
    <xf numFmtId="3" fontId="6" fillId="0" borderId="9" xfId="0" applyNumberFormat="1" applyFont="1" applyBorder="1" applyAlignment="1">
      <alignment vertical="top"/>
    </xf>
    <xf numFmtId="0" fontId="6" fillId="5" borderId="43" xfId="0" applyFont="1" applyFill="1" applyBorder="1" applyAlignment="1">
      <alignment vertical="top"/>
    </xf>
    <xf numFmtId="0" fontId="6" fillId="0" borderId="31" xfId="0" applyFont="1" applyBorder="1" applyAlignment="1">
      <alignment vertical="top"/>
    </xf>
    <xf numFmtId="0" fontId="6" fillId="0" borderId="40" xfId="0" applyFont="1" applyBorder="1" applyAlignment="1">
      <alignment vertical="top"/>
    </xf>
    <xf numFmtId="0" fontId="6" fillId="5" borderId="29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vertical="top"/>
    </xf>
    <xf numFmtId="3" fontId="6" fillId="5" borderId="29" xfId="0" applyNumberFormat="1" applyFont="1" applyFill="1" applyBorder="1" applyAlignment="1">
      <alignment vertical="top"/>
    </xf>
    <xf numFmtId="2" fontId="3" fillId="0" borderId="0" xfId="0" applyNumberFormat="1" applyFont="1" applyAlignment="1">
      <alignment vertical="top" wrapText="1"/>
    </xf>
    <xf numFmtId="0" fontId="6" fillId="5" borderId="9" xfId="0" applyFont="1" applyFill="1" applyBorder="1" applyAlignment="1">
      <alignment horizontal="center" vertical="top"/>
    </xf>
    <xf numFmtId="3" fontId="6" fillId="0" borderId="9" xfId="0" applyNumberFormat="1" applyFont="1" applyBorder="1" applyAlignment="1">
      <alignment vertical="center"/>
    </xf>
    <xf numFmtId="3" fontId="6" fillId="5" borderId="9" xfId="0" applyNumberFormat="1" applyFont="1" applyFill="1" applyBorder="1" applyAlignment="1">
      <alignment vertical="center"/>
    </xf>
    <xf numFmtId="165" fontId="6" fillId="0" borderId="30" xfId="4" applyNumberFormat="1" applyFont="1" applyFill="1" applyBorder="1" applyAlignment="1">
      <alignment vertical="center" wrapText="1"/>
    </xf>
    <xf numFmtId="3" fontId="6" fillId="0" borderId="31" xfId="0" applyNumberFormat="1" applyFont="1" applyBorder="1" applyAlignment="1">
      <alignment vertical="center"/>
    </xf>
    <xf numFmtId="3" fontId="6" fillId="0" borderId="31" xfId="5" applyNumberFormat="1" applyFont="1" applyFill="1" applyBorder="1" applyAlignment="1">
      <alignment wrapText="1"/>
    </xf>
    <xf numFmtId="3" fontId="6" fillId="0" borderId="31" xfId="0" applyNumberFormat="1" applyFont="1" applyFill="1" applyBorder="1" applyAlignment="1">
      <alignment wrapText="1"/>
    </xf>
    <xf numFmtId="3" fontId="6" fillId="0" borderId="42" xfId="0" applyNumberFormat="1" applyFont="1" applyFill="1" applyBorder="1" applyAlignment="1">
      <alignment wrapText="1"/>
    </xf>
    <xf numFmtId="3" fontId="6" fillId="5" borderId="25" xfId="0" applyNumberFormat="1" applyFont="1" applyFill="1" applyBorder="1" applyAlignment="1">
      <alignment vertical="center"/>
    </xf>
    <xf numFmtId="3" fontId="6" fillId="0" borderId="30" xfId="0" applyNumberFormat="1" applyFont="1" applyBorder="1" applyAlignment="1">
      <alignment vertical="center"/>
    </xf>
    <xf numFmtId="3" fontId="6" fillId="0" borderId="42" xfId="0" applyNumberFormat="1" applyFont="1" applyBorder="1" applyAlignment="1">
      <alignment vertical="center"/>
    </xf>
    <xf numFmtId="165" fontId="6" fillId="0" borderId="47" xfId="4" applyNumberFormat="1" applyFont="1" applyFill="1" applyBorder="1" applyAlignment="1">
      <alignment vertical="center" wrapText="1"/>
    </xf>
    <xf numFmtId="3" fontId="6" fillId="0" borderId="39" xfId="5" applyNumberFormat="1" applyFont="1" applyFill="1" applyBorder="1" applyAlignment="1">
      <alignment wrapText="1"/>
    </xf>
    <xf numFmtId="3" fontId="6" fillId="0" borderId="39" xfId="0" applyNumberFormat="1" applyFont="1" applyFill="1" applyBorder="1" applyAlignment="1">
      <alignment wrapText="1"/>
    </xf>
    <xf numFmtId="3" fontId="6" fillId="0" borderId="44" xfId="0" applyNumberFormat="1" applyFont="1" applyFill="1" applyBorder="1" applyAlignment="1">
      <alignment wrapText="1"/>
    </xf>
    <xf numFmtId="3" fontId="3" fillId="0" borderId="0" xfId="0" applyNumberFormat="1" applyFont="1" applyAlignment="1">
      <alignment horizontal="left" vertical="top" wrapText="1"/>
    </xf>
    <xf numFmtId="169" fontId="7" fillId="0" borderId="1" xfId="0" applyNumberFormat="1" applyFont="1" applyFill="1" applyBorder="1"/>
    <xf numFmtId="0" fontId="6" fillId="3" borderId="0" xfId="0" applyFont="1" applyFill="1" applyBorder="1" applyAlignment="1">
      <alignment vertical="top"/>
    </xf>
    <xf numFmtId="3" fontId="8" fillId="3" borderId="0" xfId="0" applyNumberFormat="1" applyFont="1" applyFill="1" applyBorder="1" applyAlignment="1">
      <alignment vertical="top"/>
    </xf>
    <xf numFmtId="0" fontId="12" fillId="3" borderId="35" xfId="0" applyFont="1" applyFill="1" applyBorder="1"/>
    <xf numFmtId="14" fontId="12" fillId="0" borderId="43" xfId="0" applyNumberFormat="1" applyFont="1" applyFill="1" applyBorder="1" applyAlignment="1">
      <alignment horizontal="center"/>
    </xf>
    <xf numFmtId="0" fontId="12" fillId="3" borderId="49" xfId="0" applyFont="1" applyFill="1" applyBorder="1" applyAlignment="1">
      <alignment horizontal="center"/>
    </xf>
    <xf numFmtId="14" fontId="12" fillId="0" borderId="33" xfId="0" applyNumberFormat="1" applyFont="1" applyFill="1" applyBorder="1" applyAlignment="1">
      <alignment horizontal="center"/>
    </xf>
    <xf numFmtId="0" fontId="13" fillId="0" borderId="43" xfId="0" applyFont="1" applyBorder="1" applyAlignment="1">
      <alignment vertical="center"/>
    </xf>
    <xf numFmtId="1" fontId="13" fillId="0" borderId="43" xfId="0" applyNumberFormat="1" applyFont="1" applyFill="1" applyBorder="1" applyAlignment="1">
      <alignment horizontal="center" vertical="center"/>
    </xf>
    <xf numFmtId="0" fontId="13" fillId="0" borderId="31" xfId="0" applyFont="1" applyBorder="1" applyAlignment="1">
      <alignment vertical="center"/>
    </xf>
    <xf numFmtId="1" fontId="13" fillId="0" borderId="31" xfId="0" applyNumberFormat="1" applyFont="1" applyFill="1" applyBorder="1" applyAlignment="1">
      <alignment horizontal="center" vertical="center"/>
    </xf>
    <xf numFmtId="0" fontId="13" fillId="0" borderId="31" xfId="0" applyFont="1" applyBorder="1" applyAlignment="1">
      <alignment vertical="center" wrapText="1"/>
    </xf>
    <xf numFmtId="0" fontId="13" fillId="0" borderId="31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3" fillId="0" borderId="42" xfId="0" applyFont="1" applyBorder="1" applyAlignment="1">
      <alignment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vertical="center"/>
    </xf>
    <xf numFmtId="1" fontId="12" fillId="3" borderId="25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6" xfId="0" applyBorder="1"/>
    <xf numFmtId="0" fontId="4" fillId="3" borderId="48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1" xfId="0" applyFont="1" applyFill="1" applyBorder="1" applyAlignment="1">
      <alignment horizontal="center"/>
    </xf>
    <xf numFmtId="0" fontId="4" fillId="0" borderId="5" xfId="0" applyFont="1" applyBorder="1"/>
    <xf numFmtId="0" fontId="4" fillId="3" borderId="7" xfId="0" applyFont="1" applyFill="1" applyBorder="1"/>
    <xf numFmtId="0" fontId="4" fillId="3" borderId="8" xfId="0" applyFont="1" applyFill="1" applyBorder="1"/>
    <xf numFmtId="0" fontId="4" fillId="3" borderId="38" xfId="0" applyFont="1" applyFill="1" applyBorder="1"/>
    <xf numFmtId="3" fontId="12" fillId="0" borderId="1" xfId="0" applyNumberFormat="1" applyFont="1" applyFill="1" applyBorder="1"/>
    <xf numFmtId="3" fontId="6" fillId="0" borderId="30" xfId="0" applyNumberFormat="1" applyFont="1" applyBorder="1" applyAlignment="1">
      <alignment vertical="top"/>
    </xf>
    <xf numFmtId="3" fontId="6" fillId="0" borderId="42" xfId="0" applyNumberFormat="1" applyFont="1" applyBorder="1" applyAlignment="1">
      <alignment vertical="top"/>
    </xf>
    <xf numFmtId="3" fontId="6" fillId="0" borderId="31" xfId="0" applyNumberFormat="1" applyFont="1" applyBorder="1" applyAlignment="1">
      <alignment vertical="top"/>
    </xf>
    <xf numFmtId="0" fontId="6" fillId="0" borderId="47" xfId="0" applyFont="1" applyBorder="1" applyAlignment="1">
      <alignment vertical="top"/>
    </xf>
    <xf numFmtId="0" fontId="6" fillId="0" borderId="44" xfId="0" applyFont="1" applyBorder="1" applyAlignment="1">
      <alignment vertical="top"/>
    </xf>
    <xf numFmtId="3" fontId="6" fillId="0" borderId="43" xfId="0" applyNumberFormat="1" applyFont="1" applyBorder="1" applyAlignment="1">
      <alignment vertical="top"/>
    </xf>
    <xf numFmtId="0" fontId="6" fillId="0" borderId="39" xfId="0" applyFont="1" applyBorder="1" applyAlignment="1">
      <alignment vertical="top"/>
    </xf>
    <xf numFmtId="0" fontId="6" fillId="0" borderId="43" xfId="0" applyFont="1" applyBorder="1" applyAlignment="1">
      <alignment vertical="top"/>
    </xf>
    <xf numFmtId="3" fontId="3" fillId="0" borderId="0" xfId="0" applyNumberFormat="1" applyFont="1" applyAlignment="1">
      <alignment vertical="top"/>
    </xf>
    <xf numFmtId="14" fontId="12" fillId="3" borderId="36" xfId="0" applyNumberFormat="1" applyFont="1" applyFill="1" applyBorder="1" applyAlignment="1">
      <alignment horizontal="center"/>
    </xf>
    <xf numFmtId="14" fontId="12" fillId="3" borderId="34" xfId="0" applyNumberFormat="1" applyFont="1" applyFill="1" applyBorder="1" applyAlignment="1">
      <alignment horizontal="center"/>
    </xf>
    <xf numFmtId="1" fontId="13" fillId="3" borderId="36" xfId="0" applyNumberFormat="1" applyFont="1" applyFill="1" applyBorder="1" applyAlignment="1">
      <alignment horizontal="center" vertical="center"/>
    </xf>
    <xf numFmtId="1" fontId="13" fillId="3" borderId="53" xfId="0" applyNumberFormat="1" applyFont="1" applyFill="1" applyBorder="1" applyAlignment="1">
      <alignment horizontal="center" vertical="center"/>
    </xf>
    <xf numFmtId="0" fontId="13" fillId="3" borderId="53" xfId="0" applyFont="1" applyFill="1" applyBorder="1" applyAlignment="1">
      <alignment horizontal="center" vertical="center"/>
    </xf>
    <xf numFmtId="1" fontId="13" fillId="3" borderId="52" xfId="0" applyNumberFormat="1" applyFont="1" applyFill="1" applyBorder="1" applyAlignment="1">
      <alignment horizontal="center" vertical="center"/>
    </xf>
    <xf numFmtId="1" fontId="12" fillId="3" borderId="24" xfId="0" applyNumberFormat="1" applyFont="1" applyFill="1" applyBorder="1" applyAlignment="1">
      <alignment horizontal="center" vertical="center"/>
    </xf>
    <xf numFmtId="1" fontId="13" fillId="0" borderId="42" xfId="0" applyNumberFormat="1" applyFont="1" applyFill="1" applyBorder="1" applyAlignment="1">
      <alignment horizontal="center" vertical="center"/>
    </xf>
    <xf numFmtId="1" fontId="13" fillId="3" borderId="42" xfId="0" applyNumberFormat="1" applyFont="1" applyFill="1" applyBorder="1" applyAlignment="1">
      <alignment horizontal="center" vertical="center"/>
    </xf>
    <xf numFmtId="3" fontId="0" fillId="0" borderId="0" xfId="0" applyNumberFormat="1" applyBorder="1" applyAlignment="1">
      <alignment vertical="top"/>
    </xf>
    <xf numFmtId="0" fontId="6" fillId="0" borderId="0" xfId="0" applyFont="1" applyAlignment="1">
      <alignment horizontal="center" vertical="top"/>
    </xf>
    <xf numFmtId="0" fontId="6" fillId="5" borderId="23" xfId="0" applyFont="1" applyFill="1" applyBorder="1" applyAlignment="1">
      <alignment horizontal="center" vertical="top"/>
    </xf>
    <xf numFmtId="0" fontId="6" fillId="5" borderId="24" xfId="0" applyFont="1" applyFill="1" applyBorder="1" applyAlignment="1">
      <alignment horizontal="center" vertical="top"/>
    </xf>
    <xf numFmtId="0" fontId="20" fillId="5" borderId="23" xfId="0" applyFont="1" applyFill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0" fontId="20" fillId="5" borderId="17" xfId="0" applyFont="1" applyFill="1" applyBorder="1" applyAlignment="1">
      <alignment horizontal="center" vertical="center"/>
    </xf>
    <xf numFmtId="0" fontId="20" fillId="5" borderId="19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top"/>
    </xf>
    <xf numFmtId="0" fontId="20" fillId="5" borderId="29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left" vertical="top"/>
    </xf>
    <xf numFmtId="0" fontId="6" fillId="4" borderId="9" xfId="0" applyFont="1" applyFill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20" fillId="5" borderId="46" xfId="0" applyFont="1" applyFill="1" applyBorder="1" applyAlignment="1">
      <alignment horizontal="center" vertical="center"/>
    </xf>
    <xf numFmtId="3" fontId="6" fillId="0" borderId="26" xfId="0" applyNumberFormat="1" applyFont="1" applyBorder="1" applyAlignment="1">
      <alignment horizontal="right" vertical="center"/>
    </xf>
    <xf numFmtId="3" fontId="6" fillId="0" borderId="16" xfId="0" applyNumberFormat="1" applyFont="1" applyBorder="1" applyAlignment="1">
      <alignment horizontal="right" vertical="center"/>
    </xf>
    <xf numFmtId="0" fontId="6" fillId="5" borderId="17" xfId="0" applyFont="1" applyFill="1" applyBorder="1" applyAlignment="1">
      <alignment horizontal="center" vertical="top"/>
    </xf>
    <xf numFmtId="0" fontId="6" fillId="5" borderId="46" xfId="0" applyFont="1" applyFill="1" applyBorder="1" applyAlignment="1">
      <alignment horizontal="center" vertical="top"/>
    </xf>
    <xf numFmtId="0" fontId="18" fillId="0" borderId="0" xfId="0" applyFont="1" applyAlignment="1">
      <alignment horizontal="center" vertical="center"/>
    </xf>
    <xf numFmtId="3" fontId="6" fillId="0" borderId="45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0" fontId="6" fillId="5" borderId="12" xfId="0" applyFont="1" applyFill="1" applyBorder="1" applyAlignment="1">
      <alignment horizontal="center" vertical="top"/>
    </xf>
    <xf numFmtId="0" fontId="6" fillId="5" borderId="50" xfId="0" applyFont="1" applyFill="1" applyBorder="1" applyAlignment="1">
      <alignment horizontal="center" vertical="top"/>
    </xf>
    <xf numFmtId="0" fontId="12" fillId="0" borderId="0" xfId="0" applyFont="1" applyAlignment="1">
      <alignment horizontal="center"/>
    </xf>
    <xf numFmtId="164" fontId="12" fillId="10" borderId="1" xfId="0" applyNumberFormat="1" applyFont="1" applyFill="1" applyBorder="1" applyAlignment="1">
      <alignment horizontal="center" vertical="top"/>
    </xf>
    <xf numFmtId="164" fontId="12" fillId="10" borderId="15" xfId="0" applyNumberFormat="1" applyFont="1" applyFill="1" applyBorder="1" applyAlignment="1">
      <alignment horizontal="center" vertical="top"/>
    </xf>
    <xf numFmtId="164" fontId="12" fillId="10" borderId="39" xfId="0" applyNumberFormat="1" applyFont="1" applyFill="1" applyBorder="1" applyAlignment="1">
      <alignment horizontal="center" vertical="top"/>
    </xf>
    <xf numFmtId="164" fontId="12" fillId="10" borderId="9" xfId="0" applyNumberFormat="1" applyFont="1" applyFill="1" applyBorder="1" applyAlignment="1">
      <alignment horizontal="center" vertical="top"/>
    </xf>
    <xf numFmtId="0" fontId="23" fillId="0" borderId="0" xfId="0" applyFont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9" fillId="5" borderId="23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3" fontId="9" fillId="5" borderId="29" xfId="0" applyNumberFormat="1" applyFont="1" applyFill="1" applyBorder="1" applyAlignment="1">
      <alignment horizontal="center" vertical="center" wrapText="1"/>
    </xf>
    <xf numFmtId="164" fontId="13" fillId="0" borderId="26" xfId="1" applyNumberFormat="1" applyFont="1" applyFill="1" applyBorder="1" applyAlignment="1">
      <alignment vertical="center"/>
    </xf>
    <xf numFmtId="164" fontId="13" fillId="0" borderId="16" xfId="1" applyNumberFormat="1" applyFont="1" applyFill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35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/>
    </xf>
    <xf numFmtId="0" fontId="12" fillId="2" borderId="36" xfId="0" applyFont="1" applyFill="1" applyBorder="1" applyAlignment="1">
      <alignment horizontal="center"/>
    </xf>
    <xf numFmtId="0" fontId="18" fillId="0" borderId="0" xfId="6" applyFont="1" applyAlignment="1">
      <alignment horizontal="center" vertical="center" wrapText="1"/>
    </xf>
    <xf numFmtId="0" fontId="13" fillId="3" borderId="35" xfId="0" applyFont="1" applyFill="1" applyBorder="1" applyAlignment="1">
      <alignment horizontal="center"/>
    </xf>
    <xf numFmtId="0" fontId="13" fillId="3" borderId="49" xfId="0" applyFont="1" applyFill="1" applyBorder="1" applyAlignment="1">
      <alignment horizontal="center"/>
    </xf>
    <xf numFmtId="0" fontId="12" fillId="0" borderId="43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</cellXfs>
  <cellStyles count="11">
    <cellStyle name="Ezres" xfId="1" builtinId="3"/>
    <cellStyle name="Ezres 2" xfId="8"/>
    <cellStyle name="Ezres 3" xfId="7"/>
    <cellStyle name="Ezres 4" xfId="10"/>
    <cellStyle name="Normál" xfId="0" builtinId="0"/>
    <cellStyle name="Normál 2" xfId="6"/>
    <cellStyle name="Normál 2 4" xfId="3"/>
    <cellStyle name="Normál 27" xfId="5"/>
    <cellStyle name="Normál 4 2 3" xfId="4"/>
    <cellStyle name="Normál 5" xfId="2"/>
    <cellStyle name="Százalék" xfId="9" builtinId="5"/>
  </cellStyles>
  <dxfs count="0"/>
  <tableStyles count="0" defaultTableStyle="TableStyleMedium9" defaultPivotStyle="PivotStyleLight16"/>
  <colors>
    <mruColors>
      <color rgb="FF800000"/>
      <color rgb="FFFF5050"/>
      <color rgb="FF003399"/>
      <color rgb="FF009999"/>
      <color rgb="FF9999FF"/>
      <color rgb="FF6699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u-HU" sz="1200" b="1" i="0" u="none" strike="noStrike" kern="1200" spc="0" baseline="0">
                <a:solidFill>
                  <a:schemeClr val="tx1"/>
                </a:solidFill>
                <a:latin typeface="Garamond" panose="02020404030301010803" pitchFamily="18" charset="0"/>
                <a:ea typeface="+mn-ea"/>
                <a:cs typeface="+mn-cs"/>
              </a:rPr>
              <a:t>2022. évi realizált átoktatási bevétel adminkar szerinti megoszlása</a:t>
            </a:r>
          </a:p>
        </c:rich>
      </c:tx>
      <c:layout>
        <c:manualLayout>
          <c:xMode val="edge"/>
          <c:yMode val="edge"/>
          <c:x val="0.11678455818022747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3175">
              <a:solidFill>
                <a:schemeClr val="bg2"/>
              </a:solidFill>
            </a:ln>
          </c:spPr>
          <c:dPt>
            <c:idx val="0"/>
            <c:bubble3D val="0"/>
            <c:spPr>
              <a:solidFill>
                <a:srgbClr val="9999FF"/>
              </a:solidFill>
              <a:ln w="3175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673-4DF9-80A6-2383DE6185F3}"/>
              </c:ext>
            </c:extLst>
          </c:dPt>
          <c:dPt>
            <c:idx val="1"/>
            <c:bubble3D val="0"/>
            <c:spPr>
              <a:solidFill>
                <a:srgbClr val="669900"/>
              </a:solidFill>
              <a:ln w="3175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673-4DF9-80A6-2383DE6185F3}"/>
              </c:ext>
            </c:extLst>
          </c:dPt>
          <c:dPt>
            <c:idx val="2"/>
            <c:bubble3D val="0"/>
            <c:spPr>
              <a:solidFill>
                <a:srgbClr val="009999"/>
              </a:solidFill>
              <a:ln w="3175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673-4DF9-80A6-2383DE6185F3}"/>
              </c:ext>
            </c:extLst>
          </c:dPt>
          <c:dPt>
            <c:idx val="3"/>
            <c:bubble3D val="0"/>
            <c:spPr>
              <a:solidFill>
                <a:srgbClr val="003399"/>
              </a:solidFill>
              <a:ln w="3175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673-4DF9-80A6-2383DE6185F3}"/>
              </c:ext>
            </c:extLst>
          </c:dPt>
          <c:dLbls>
            <c:dLbl>
              <c:idx val="0"/>
              <c:layout>
                <c:manualLayout>
                  <c:x val="3.8290178461234665E-3"/>
                  <c:y val="-7.2614398401272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673-4DF9-80A6-2383DE6185F3}"/>
                </c:ext>
              </c:extLst>
            </c:dLbl>
            <c:dLbl>
              <c:idx val="1"/>
              <c:layout>
                <c:manualLayout>
                  <c:x val="2.5236960975489348E-2"/>
                  <c:y val="1.65343775727765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673-4DF9-80A6-2383DE6185F3}"/>
                </c:ext>
              </c:extLst>
            </c:dLbl>
            <c:dLbl>
              <c:idx val="2"/>
              <c:layout>
                <c:manualLayout>
                  <c:x val="-2.8213166144200628E-2"/>
                  <c:y val="1.199397662423564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673-4DF9-80A6-2383DE6185F3}"/>
                </c:ext>
              </c:extLst>
            </c:dLbl>
            <c:dLbl>
              <c:idx val="3"/>
              <c:layout>
                <c:manualLayout>
                  <c:x val="6.8861229728729045E-2"/>
                  <c:y val="7.931716310260145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673-4DF9-80A6-2383DE6185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Garamond" panose="02020404030301010803" pitchFamily="18" charset="0"/>
                    <a:ea typeface="+mn-ea"/>
                    <a:cs typeface="+mn-cs"/>
                  </a:defRPr>
                </a:pPr>
                <a:endParaRPr lang="hu-H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'7.8.9.10.11. táblázat'!$Q$30:$Q$33</c:f>
              <c:strCache>
                <c:ptCount val="4"/>
                <c:pt idx="0">
                  <c:v>TÁTK</c:v>
                </c:pt>
                <c:pt idx="1">
                  <c:v>PPK</c:v>
                </c:pt>
                <c:pt idx="2">
                  <c:v>IK</c:v>
                </c:pt>
                <c:pt idx="3">
                  <c:v>TTK</c:v>
                </c:pt>
              </c:strCache>
            </c:strRef>
          </c:cat>
          <c:val>
            <c:numRef>
              <c:f>'7.8.9.10.11. táblázat'!$R$30:$R$33</c:f>
              <c:numCache>
                <c:formatCode>0.00%</c:formatCode>
                <c:ptCount val="4"/>
                <c:pt idx="0">
                  <c:v>0.43137440030530627</c:v>
                </c:pt>
                <c:pt idx="1">
                  <c:v>0.10826123315599673</c:v>
                </c:pt>
                <c:pt idx="2">
                  <c:v>0.45959477575794117</c:v>
                </c:pt>
                <c:pt idx="3">
                  <c:v>7.6959078075582599E-4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73-4DF9-80A6-2383DE6185F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306-4C17-A579-DE2DA208D53E}"/>
              </c:ext>
            </c:extLst>
          </c:dPt>
          <c:dPt>
            <c:idx val="1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306-4C17-A579-DE2DA208D53E}"/>
              </c:ext>
            </c:extLst>
          </c:dPt>
          <c:dPt>
            <c:idx val="2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306-4C17-A579-DE2DA208D53E}"/>
              </c:ext>
            </c:extLst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306-4C17-A579-DE2DA208D53E}"/>
              </c:ext>
            </c:extLst>
          </c:dPt>
          <c:cat>
            <c:strRef>
              <c:f>'7.8.9.10.11. táblázat'!$Q$30:$Q$33</c:f>
              <c:strCache>
                <c:ptCount val="4"/>
                <c:pt idx="0">
                  <c:v>TÁTK</c:v>
                </c:pt>
                <c:pt idx="1">
                  <c:v>PPK</c:v>
                </c:pt>
                <c:pt idx="2">
                  <c:v>IK</c:v>
                </c:pt>
                <c:pt idx="3">
                  <c:v>TTK</c:v>
                </c:pt>
              </c:strCache>
            </c:strRef>
          </c:cat>
          <c:val>
            <c:numRef>
              <c:f>'7.8.9.10.11. táblázat'!$S$30:$S$33</c:f>
              <c:numCache>
                <c:formatCode>#,##0</c:formatCode>
                <c:ptCount val="4"/>
                <c:pt idx="0">
                  <c:v>9343381</c:v>
                </c:pt>
                <c:pt idx="1">
                  <c:v>2344891</c:v>
                </c:pt>
                <c:pt idx="2">
                  <c:v>9954622</c:v>
                </c:pt>
                <c:pt idx="3">
                  <c:v>16669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73-4DF9-80A6-2383DE618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52187226596676"/>
          <c:y val="0.86047499270924455"/>
          <c:w val="0.74851181102362208"/>
          <c:h val="8.39694517351997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Garamond" panose="02020404030301010803" pitchFamily="18" charset="0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  <a:latin typeface="Garamond" panose="02020404030301010803" pitchFamily="18" charset="0"/>
              </a:rPr>
              <a:t>2022. évi realizált átoktatási kiadás célkar szerinti megoszlása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Garamond" panose="02020404030301010803" pitchFamily="18" charset="0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999FF"/>
              </a:solidFill>
              <a:ln w="19050">
                <a:solidFill>
                  <a:srgbClr val="9999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112-4C8F-BA35-94940023B29F}"/>
              </c:ext>
            </c:extLst>
          </c:dPt>
          <c:dPt>
            <c:idx val="1"/>
            <c:bubble3D val="0"/>
            <c:spPr>
              <a:solidFill>
                <a:srgbClr val="669900"/>
              </a:solidFill>
              <a:ln w="19050">
                <a:solidFill>
                  <a:srgbClr val="6699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112-4C8F-BA35-94940023B29F}"/>
              </c:ext>
            </c:extLst>
          </c:dPt>
          <c:dPt>
            <c:idx val="2"/>
            <c:bubble3D val="0"/>
            <c:spPr>
              <a:solidFill>
                <a:srgbClr val="009999"/>
              </a:solidFill>
              <a:ln w="19050">
                <a:solidFill>
                  <a:srgbClr val="009999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112-4C8F-BA35-94940023B29F}"/>
              </c:ext>
            </c:extLst>
          </c:dPt>
          <c:dPt>
            <c:idx val="3"/>
            <c:bubble3D val="0"/>
            <c:spPr>
              <a:solidFill>
                <a:srgbClr val="003399"/>
              </a:solidFill>
              <a:ln w="19050">
                <a:solidFill>
                  <a:srgbClr val="003399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112-4C8F-BA35-94940023B29F}"/>
              </c:ext>
            </c:extLst>
          </c:dPt>
          <c:dPt>
            <c:idx val="4"/>
            <c:bubble3D val="0"/>
            <c:spPr>
              <a:solidFill>
                <a:srgbClr val="FF5050"/>
              </a:solidFill>
              <a:ln w="19050">
                <a:solidFill>
                  <a:srgbClr val="FF5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112-4C8F-BA35-94940023B29F}"/>
              </c:ext>
            </c:extLst>
          </c:dPt>
          <c:dPt>
            <c:idx val="5"/>
            <c:bubble3D val="0"/>
            <c:spPr>
              <a:solidFill>
                <a:srgbClr val="800000"/>
              </a:solidFill>
              <a:ln w="19050">
                <a:solidFill>
                  <a:srgbClr val="8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7112-4C8F-BA35-94940023B29F}"/>
              </c:ext>
            </c:extLst>
          </c:dPt>
          <c:dLbls>
            <c:dLbl>
              <c:idx val="0"/>
              <c:layout>
                <c:manualLayout>
                  <c:x val="0.11826202974628172"/>
                  <c:y val="-2.492709244677748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112-4C8F-BA35-94940023B29F}"/>
                </c:ext>
              </c:extLst>
            </c:dLbl>
            <c:dLbl>
              <c:idx val="1"/>
              <c:layout>
                <c:manualLayout>
                  <c:x val="-8.6171259842519679E-2"/>
                  <c:y val="-0.208631991233054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112-4C8F-BA35-94940023B29F}"/>
                </c:ext>
              </c:extLst>
            </c:dLbl>
            <c:dLbl>
              <c:idx val="2"/>
              <c:layout>
                <c:manualLayout>
                  <c:x val="-3.6170056867891515E-2"/>
                  <c:y val="4.279491105278506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112-4C8F-BA35-94940023B29F}"/>
                </c:ext>
              </c:extLst>
            </c:dLbl>
            <c:dLbl>
              <c:idx val="3"/>
              <c:layout>
                <c:manualLayout>
                  <c:x val="-2.2610454943132109E-2"/>
                  <c:y val="-5.238152522601341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112-4C8F-BA35-94940023B29F}"/>
                </c:ext>
              </c:extLst>
            </c:dLbl>
            <c:dLbl>
              <c:idx val="4"/>
              <c:layout>
                <c:manualLayout>
                  <c:x val="-1.6638451443569555E-2"/>
                  <c:y val="-0.11403725951781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112-4C8F-BA35-94940023B29F}"/>
                </c:ext>
              </c:extLst>
            </c:dLbl>
            <c:dLbl>
              <c:idx val="5"/>
              <c:layout>
                <c:manualLayout>
                  <c:x val="3.9140419947506562E-2"/>
                  <c:y val="-2.645231846019247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112-4C8F-BA35-94940023B29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Garamond" panose="02020404030301010803" pitchFamily="18" charset="0"/>
                    <a:ea typeface="+mn-ea"/>
                    <a:cs typeface="+mn-cs"/>
                  </a:defRPr>
                </a:pPr>
                <a:endParaRPr lang="hu-HU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'7.8.9.10.11. táblázat'!$G$30:$G$35</c:f>
              <c:strCache>
                <c:ptCount val="6"/>
                <c:pt idx="0">
                  <c:v>TÁTK</c:v>
                </c:pt>
                <c:pt idx="1">
                  <c:v>PPK</c:v>
                </c:pt>
                <c:pt idx="2">
                  <c:v>IK</c:v>
                </c:pt>
                <c:pt idx="3">
                  <c:v>TTK</c:v>
                </c:pt>
                <c:pt idx="4">
                  <c:v>TÓK</c:v>
                </c:pt>
                <c:pt idx="5">
                  <c:v>TKK</c:v>
                </c:pt>
              </c:strCache>
            </c:strRef>
          </c:cat>
          <c:val>
            <c:numRef>
              <c:f>'7.8.9.10.11. táblázat'!$H$30:$H$35</c:f>
              <c:numCache>
                <c:formatCode>#,##0</c:formatCode>
                <c:ptCount val="6"/>
                <c:pt idx="0">
                  <c:v>1718807</c:v>
                </c:pt>
                <c:pt idx="1">
                  <c:v>180257666</c:v>
                </c:pt>
                <c:pt idx="2">
                  <c:v>4753628</c:v>
                </c:pt>
                <c:pt idx="3">
                  <c:v>16669</c:v>
                </c:pt>
                <c:pt idx="4">
                  <c:v>5029014</c:v>
                </c:pt>
                <c:pt idx="5">
                  <c:v>30157983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2-4C8F-BA35-94940023B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221999338673607"/>
          <c:y val="0.82672564510404478"/>
          <c:w val="0.7355597452660767"/>
          <c:h val="9.53667310784816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Garamond" panose="02020404030301010803" pitchFamily="18" charset="0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>
                <a:solidFill>
                  <a:sysClr val="windowText" lastClr="000000"/>
                </a:solidFill>
                <a:latin typeface="Garamond" panose="02020404030301010803" pitchFamily="18" charset="0"/>
              </a:rPr>
              <a:t>BDPK</a:t>
            </a:r>
            <a:r>
              <a:rPr lang="hu-HU" baseline="0">
                <a:solidFill>
                  <a:sysClr val="windowText" lastClr="000000"/>
                </a:solidFill>
                <a:latin typeface="Garamond" panose="02020404030301010803" pitchFamily="18" charset="0"/>
              </a:rPr>
              <a:t> oktatók életkor és nem szerinit megoszlása</a:t>
            </a:r>
            <a:endParaRPr lang="hu-HU">
              <a:solidFill>
                <a:sysClr val="windowText" lastClr="000000"/>
              </a:solidFill>
              <a:latin typeface="Garamond" panose="02020404030301010803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'17. táblázat'!$J$6</c:f>
              <c:strCache>
                <c:ptCount val="1"/>
                <c:pt idx="0">
                  <c:v>Férfi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aramond" panose="02020404030301010803" pitchFamily="18" charset="0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'17. táblázat'!$I$7:$I$11</c:f>
              <c:strCache>
                <c:ptCount val="5"/>
                <c:pt idx="0">
                  <c:v>40 év alatti</c:v>
                </c:pt>
                <c:pt idx="1">
                  <c:v>40-55 év</c:v>
                </c:pt>
                <c:pt idx="2">
                  <c:v>55-60 év</c:v>
                </c:pt>
                <c:pt idx="3">
                  <c:v>60 év feletti</c:v>
                </c:pt>
                <c:pt idx="4">
                  <c:v>Összesen</c:v>
                </c:pt>
              </c:strCache>
            </c:strRef>
          </c:cat>
          <c:val>
            <c:numRef>
              <c:f>'17. táblázat'!$J$7:$J$11</c:f>
              <c:numCache>
                <c:formatCode>General</c:formatCode>
                <c:ptCount val="5"/>
                <c:pt idx="0">
                  <c:v>6</c:v>
                </c:pt>
                <c:pt idx="1">
                  <c:v>13</c:v>
                </c:pt>
                <c:pt idx="2">
                  <c:v>11</c:v>
                </c:pt>
                <c:pt idx="3">
                  <c:v>14</c:v>
                </c:pt>
                <c:pt idx="4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E-4FBB-86E6-B27814CB66C2}"/>
            </c:ext>
          </c:extLst>
        </c:ser>
        <c:ser>
          <c:idx val="1"/>
          <c:order val="1"/>
          <c:tx>
            <c:strRef>
              <c:f>'17. táblázat'!$K$6</c:f>
              <c:strCache>
                <c:ptCount val="1"/>
                <c:pt idx="0">
                  <c:v>Nő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aramond" panose="02020404030301010803" pitchFamily="18" charset="0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'17. táblázat'!$I$7:$I$11</c:f>
              <c:strCache>
                <c:ptCount val="5"/>
                <c:pt idx="0">
                  <c:v>40 év alatti</c:v>
                </c:pt>
                <c:pt idx="1">
                  <c:v>40-55 év</c:v>
                </c:pt>
                <c:pt idx="2">
                  <c:v>55-60 év</c:v>
                </c:pt>
                <c:pt idx="3">
                  <c:v>60 év feletti</c:v>
                </c:pt>
                <c:pt idx="4">
                  <c:v>Összesen</c:v>
                </c:pt>
              </c:strCache>
            </c:strRef>
          </c:cat>
          <c:val>
            <c:numRef>
              <c:f>'17. táblázat'!$K$7:$K$11</c:f>
              <c:numCache>
                <c:formatCode>General</c:formatCode>
                <c:ptCount val="5"/>
                <c:pt idx="0">
                  <c:v>5</c:v>
                </c:pt>
                <c:pt idx="1">
                  <c:v>9</c:v>
                </c:pt>
                <c:pt idx="2">
                  <c:v>22</c:v>
                </c:pt>
                <c:pt idx="3">
                  <c:v>9</c:v>
                </c:pt>
                <c:pt idx="4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0E-4FBB-86E6-B27814CB6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0039808"/>
        <c:axId val="840040136"/>
      </c:barChart>
      <c:catAx>
        <c:axId val="840039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hu-HU"/>
          </a:p>
        </c:txPr>
        <c:crossAx val="840040136"/>
        <c:crosses val="autoZero"/>
        <c:auto val="1"/>
        <c:lblAlgn val="ctr"/>
        <c:lblOffset val="100"/>
        <c:noMultiLvlLbl val="0"/>
      </c:catAx>
      <c:valAx>
        <c:axId val="840040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400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Garamond" panose="02020404030301010803" pitchFamily="18" charset="0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hu-HU" sz="1400">
                <a:solidFill>
                  <a:schemeClr val="tx1"/>
                </a:solidFill>
                <a:latin typeface="Garamond" panose="02020404030301010803" pitchFamily="18" charset="0"/>
              </a:rPr>
              <a:t>Művészeti gyakorlóhely támogatás felhasználása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Garamond" panose="02020404030301010803" pitchFamily="18" charset="0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bg2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3D-48C3-9C36-9D75ABA7A38B}"/>
              </c:ext>
            </c:extLst>
          </c:dPt>
          <c:dPt>
            <c:idx val="1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3D-48C3-9C36-9D75ABA7A38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Garamond" panose="02020404030301010803" pitchFamily="18" charset="0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013D-48C3-9C36-9D75ABA7A38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Garamond" panose="02020404030301010803" pitchFamily="18" charset="0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013D-48C3-9C36-9D75ABA7A3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aramond" panose="02020404030301010803" pitchFamily="18" charset="0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[2]Beszámolóba!$A$7:$A$8</c:f>
              <c:strCache>
                <c:ptCount val="2"/>
                <c:pt idx="0">
                  <c:v>Vizuális Művészet Tanszék</c:v>
                </c:pt>
                <c:pt idx="1">
                  <c:v>Zenepedagógiai Tanszék</c:v>
                </c:pt>
              </c:strCache>
            </c:strRef>
          </c:cat>
          <c:val>
            <c:numRef>
              <c:f>[2]Beszámolóba!$B$7:$B$8</c:f>
              <c:numCache>
                <c:formatCode>General</c:formatCode>
                <c:ptCount val="2"/>
                <c:pt idx="0">
                  <c:v>14383455</c:v>
                </c:pt>
                <c:pt idx="1">
                  <c:v>7116545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3D-48C3-9C36-9D75ABA7A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/>
              </a:solidFill>
              <a:latin typeface="Garamond" panose="02020404030301010803" pitchFamily="18" charset="0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426720</xdr:colOff>
      <xdr:row>12</xdr:row>
      <xdr:rowOff>45720</xdr:rowOff>
    </xdr:from>
    <xdr:to>
      <xdr:col>12</xdr:col>
      <xdr:colOff>594360</xdr:colOff>
      <xdr:row>25</xdr:row>
      <xdr:rowOff>83820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22861</xdr:colOff>
      <xdr:row>0</xdr:row>
      <xdr:rowOff>182881</xdr:rowOff>
    </xdr:from>
    <xdr:to>
      <xdr:col>11</xdr:col>
      <xdr:colOff>521970</xdr:colOff>
      <xdr:row>11</xdr:row>
      <xdr:rowOff>297181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14</xdr:row>
      <xdr:rowOff>28575</xdr:rowOff>
    </xdr:from>
    <xdr:to>
      <xdr:col>14</xdr:col>
      <xdr:colOff>476250</xdr:colOff>
      <xdr:row>30</xdr:row>
      <xdr:rowOff>0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998220</xdr:colOff>
      <xdr:row>13</xdr:row>
      <xdr:rowOff>41910</xdr:rowOff>
    </xdr:from>
    <xdr:to>
      <xdr:col>3</xdr:col>
      <xdr:colOff>137160</xdr:colOff>
      <xdr:row>28</xdr:row>
      <xdr:rowOff>41910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01_tervez&#233;sek\2023_tervez&#233;s\oktat&#225;si%20egys&#233;gek%20dologi%20kiad&#225;sainak%20r&#233;szletez&#233;s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01_tervez&#233;sek\2023_tervez&#233;s\besz&#225;mol&#243;\2022_m&#369;v&#233;szeti%20gyakorl&#243;hely_kiad&#225;s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zámolóba"/>
      <sheetName val="beszámolóba_2"/>
      <sheetName val="kimutatás"/>
      <sheetName val="K3,K4,K6"/>
      <sheetName val="tényadatok"/>
      <sheetName val="megnevezés"/>
      <sheetName val="rovatlista"/>
    </sheetNames>
    <sheetDataSet>
      <sheetData sheetId="0">
        <row r="5">
          <cell r="B5">
            <v>11737</v>
          </cell>
          <cell r="C5">
            <v>56640</v>
          </cell>
          <cell r="D5">
            <v>50000</v>
          </cell>
          <cell r="E5">
            <v>3790049</v>
          </cell>
          <cell r="F5">
            <v>50602</v>
          </cell>
          <cell r="G5">
            <v>47430</v>
          </cell>
          <cell r="I5">
            <v>62617</v>
          </cell>
          <cell r="J5">
            <v>566086</v>
          </cell>
        </row>
        <row r="18">
          <cell r="E18">
            <v>2025650</v>
          </cell>
          <cell r="I18">
            <v>126765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zámolóba"/>
    </sheetNames>
    <sheetDataSet>
      <sheetData sheetId="0">
        <row r="7">
          <cell r="A7" t="str">
            <v>Vizuális Művészet Tanszék</v>
          </cell>
          <cell r="B7">
            <v>14383455</v>
          </cell>
        </row>
        <row r="8">
          <cell r="A8" t="str">
            <v>Zenepedagógiai Tanszék</v>
          </cell>
          <cell r="B8">
            <v>7116545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4"/>
  <sheetViews>
    <sheetView workbookViewId="0">
      <selection activeCell="H22" sqref="H22"/>
    </sheetView>
  </sheetViews>
  <sheetFormatPr defaultRowHeight="13.2" x14ac:dyDescent="0.25"/>
  <cols>
    <col min="2" max="2" width="42" bestFit="1" customWidth="1"/>
    <col min="3" max="3" width="10.109375" bestFit="1" customWidth="1"/>
    <col min="4" max="4" width="9.6640625" bestFit="1" customWidth="1"/>
  </cols>
  <sheetData>
    <row r="1" spans="1:7" x14ac:dyDescent="0.25">
      <c r="A1" s="292" t="s">
        <v>261</v>
      </c>
      <c r="B1" s="292"/>
      <c r="C1" s="292"/>
      <c r="D1" s="292"/>
      <c r="E1" s="292"/>
    </row>
    <row r="2" spans="1:7" s="4" customFormat="1" ht="13.8" thickBot="1" x14ac:dyDescent="0.3"/>
    <row r="3" spans="1:7" s="4" customFormat="1" ht="13.8" thickBot="1" x14ac:dyDescent="0.3">
      <c r="A3" s="295" t="s">
        <v>19</v>
      </c>
      <c r="B3" s="296"/>
      <c r="C3" s="167" t="s">
        <v>27</v>
      </c>
      <c r="D3" s="167" t="s">
        <v>189</v>
      </c>
      <c r="E3" s="168" t="s">
        <v>34</v>
      </c>
      <c r="F3" s="3"/>
    </row>
    <row r="4" spans="1:7" x14ac:dyDescent="0.25">
      <c r="A4" s="169" t="s">
        <v>20</v>
      </c>
      <c r="B4" s="170" t="s">
        <v>187</v>
      </c>
      <c r="C4" s="169">
        <f>629895906+56216295</f>
        <v>686112201</v>
      </c>
      <c r="D4" s="169">
        <v>668343493</v>
      </c>
      <c r="E4" s="171">
        <f>(D4-C4)/C4</f>
        <v>-2.5897670926274638E-2</v>
      </c>
      <c r="F4" s="3"/>
    </row>
    <row r="5" spans="1:7" ht="13.8" thickBot="1" x14ac:dyDescent="0.3">
      <c r="A5" s="172" t="s">
        <v>21</v>
      </c>
      <c r="B5" s="172" t="s">
        <v>188</v>
      </c>
      <c r="C5" s="173">
        <v>75586481</v>
      </c>
      <c r="D5" s="173">
        <v>97380457</v>
      </c>
      <c r="E5" s="174">
        <f t="shared" ref="E5:E10" si="0">+(D5-C5)/C5</f>
        <v>0.28833166608192806</v>
      </c>
      <c r="F5" s="3"/>
    </row>
    <row r="6" spans="1:7" ht="13.8" thickBot="1" x14ac:dyDescent="0.3">
      <c r="A6" s="297" t="s">
        <v>23</v>
      </c>
      <c r="B6" s="298"/>
      <c r="C6" s="175">
        <f>SUM(C4:C5)</f>
        <v>761698682</v>
      </c>
      <c r="D6" s="175">
        <f>SUM(D4:D5)</f>
        <v>765723950</v>
      </c>
      <c r="E6" s="176">
        <f t="shared" si="0"/>
        <v>5.284593626223447E-3</v>
      </c>
      <c r="F6" s="3"/>
    </row>
    <row r="7" spans="1:7" x14ac:dyDescent="0.25">
      <c r="A7" s="170" t="s">
        <v>20</v>
      </c>
      <c r="B7" s="170" t="s">
        <v>24</v>
      </c>
      <c r="C7" s="169">
        <v>602601583</v>
      </c>
      <c r="D7" s="169">
        <f>564198733+21918394</f>
        <v>586117127</v>
      </c>
      <c r="E7" s="171">
        <f t="shared" si="0"/>
        <v>-2.7355480743899738E-2</v>
      </c>
      <c r="F7" s="3"/>
    </row>
    <row r="8" spans="1:7" x14ac:dyDescent="0.25">
      <c r="A8" s="25" t="s">
        <v>21</v>
      </c>
      <c r="B8" s="25" t="s">
        <v>25</v>
      </c>
      <c r="C8" s="24">
        <v>116492759</v>
      </c>
      <c r="D8" s="24">
        <f>100605487+249268-448921-3111219</f>
        <v>97294615</v>
      </c>
      <c r="E8" s="177">
        <f t="shared" si="0"/>
        <v>-0.16480117875824368</v>
      </c>
      <c r="F8" s="3"/>
      <c r="G8" s="1"/>
    </row>
    <row r="9" spans="1:7" s="4" customFormat="1" ht="27" thickBot="1" x14ac:dyDescent="0.3">
      <c r="A9" s="25" t="s">
        <v>26</v>
      </c>
      <c r="B9" s="178" t="s">
        <v>228</v>
      </c>
      <c r="C9" s="179">
        <f>10200256+14607068+109881+17687135</f>
        <v>42604340</v>
      </c>
      <c r="D9" s="179">
        <f>8465203+19549759</f>
        <v>28014962</v>
      </c>
      <c r="E9" s="180">
        <f t="shared" si="0"/>
        <v>-0.34243877501681752</v>
      </c>
      <c r="F9" s="3"/>
    </row>
    <row r="10" spans="1:7" ht="13.2" customHeight="1" thickBot="1" x14ac:dyDescent="0.3">
      <c r="A10" s="293" t="s">
        <v>229</v>
      </c>
      <c r="B10" s="294"/>
      <c r="C10" s="175">
        <f>SUM(C7:C9)</f>
        <v>761698682</v>
      </c>
      <c r="D10" s="175">
        <f>SUM(D7:D9)</f>
        <v>711426704</v>
      </c>
      <c r="E10" s="176">
        <f t="shared" si="0"/>
        <v>-6.5999822748807113E-2</v>
      </c>
      <c r="F10" s="3"/>
    </row>
    <row r="11" spans="1:7" ht="13.8" thickBot="1" x14ac:dyDescent="0.3">
      <c r="A11" s="293" t="s">
        <v>190</v>
      </c>
      <c r="B11" s="294"/>
      <c r="C11" s="175"/>
      <c r="D11" s="175">
        <f>+D6-D10</f>
        <v>54297246</v>
      </c>
      <c r="E11" s="176"/>
      <c r="F11" s="3"/>
    </row>
    <row r="12" spans="1:7" x14ac:dyDescent="0.25">
      <c r="B12" s="4"/>
      <c r="C12" s="21"/>
      <c r="D12" s="21"/>
      <c r="E12" s="76"/>
      <c r="F12" s="3"/>
    </row>
    <row r="13" spans="1:7" x14ac:dyDescent="0.25">
      <c r="B13" s="4"/>
      <c r="C13" s="21"/>
      <c r="D13" s="21"/>
      <c r="E13" s="76"/>
      <c r="F13" s="3"/>
    </row>
    <row r="14" spans="1:7" x14ac:dyDescent="0.25">
      <c r="B14" s="4"/>
      <c r="C14" s="291"/>
      <c r="D14" s="21"/>
      <c r="E14" s="76"/>
      <c r="F14" s="3"/>
    </row>
  </sheetData>
  <mergeCells count="5">
    <mergeCell ref="A1:E1"/>
    <mergeCell ref="A10:B10"/>
    <mergeCell ref="A11:B11"/>
    <mergeCell ref="A3:B3"/>
    <mergeCell ref="A6:B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8"/>
  <sheetViews>
    <sheetView topLeftCell="A4" workbookViewId="0">
      <selection activeCell="F21" sqref="F21:G21"/>
    </sheetView>
  </sheetViews>
  <sheetFormatPr defaultColWidth="9.109375" defaultRowHeight="13.2" x14ac:dyDescent="0.25"/>
  <cols>
    <col min="1" max="1" width="28.5546875" style="17" bestFit="1" customWidth="1"/>
    <col min="2" max="3" width="9.6640625" style="17" customWidth="1"/>
    <col min="4" max="5" width="11.109375" style="17" bestFit="1" customWidth="1"/>
    <col min="6" max="7" width="9.6640625" style="17" customWidth="1"/>
    <col min="8" max="16384" width="9.109375" style="17"/>
  </cols>
  <sheetData>
    <row r="1" spans="1:7" ht="12.75" customHeight="1" x14ac:dyDescent="0.25">
      <c r="A1" s="339" t="s">
        <v>218</v>
      </c>
      <c r="B1" s="339"/>
      <c r="C1" s="339"/>
      <c r="D1" s="339"/>
      <c r="E1" s="339"/>
      <c r="F1" s="339"/>
      <c r="G1" s="339"/>
    </row>
    <row r="2" spans="1:7" ht="12.75" customHeight="1" x14ac:dyDescent="0.25">
      <c r="A2" s="339"/>
      <c r="B2" s="339"/>
      <c r="C2" s="339"/>
      <c r="D2" s="339"/>
      <c r="E2" s="339"/>
      <c r="F2" s="339"/>
      <c r="G2" s="339"/>
    </row>
    <row r="3" spans="1:7" ht="12.75" customHeight="1" thickBot="1" x14ac:dyDescent="0.35">
      <c r="B3" s="105"/>
      <c r="C3" s="340"/>
      <c r="D3" s="340"/>
      <c r="E3" s="340"/>
      <c r="F3" s="4"/>
      <c r="G3" s="4"/>
    </row>
    <row r="4" spans="1:7" x14ac:dyDescent="0.25">
      <c r="A4" s="341" t="s">
        <v>130</v>
      </c>
      <c r="B4" s="343" t="s">
        <v>176</v>
      </c>
      <c r="C4" s="344"/>
      <c r="D4" s="343" t="s">
        <v>175</v>
      </c>
      <c r="E4" s="344"/>
      <c r="F4" s="343" t="s">
        <v>170</v>
      </c>
      <c r="G4" s="344"/>
    </row>
    <row r="5" spans="1:7" ht="39.6" x14ac:dyDescent="0.25">
      <c r="A5" s="342"/>
      <c r="B5" s="106" t="s">
        <v>131</v>
      </c>
      <c r="C5" s="106" t="s">
        <v>132</v>
      </c>
      <c r="D5" s="106" t="s">
        <v>131</v>
      </c>
      <c r="E5" s="107" t="s">
        <v>132</v>
      </c>
      <c r="F5" s="106" t="s">
        <v>131</v>
      </c>
      <c r="G5" s="107" t="s">
        <v>132</v>
      </c>
    </row>
    <row r="6" spans="1:7" x14ac:dyDescent="0.25">
      <c r="A6" s="108" t="s">
        <v>133</v>
      </c>
      <c r="B6" s="110">
        <v>40175296</v>
      </c>
      <c r="C6" s="109">
        <v>964125</v>
      </c>
      <c r="D6" s="111">
        <v>41264878</v>
      </c>
      <c r="E6" s="112">
        <v>649688</v>
      </c>
      <c r="F6" s="111">
        <v>58895142</v>
      </c>
      <c r="G6" s="132"/>
    </row>
    <row r="7" spans="1:7" x14ac:dyDescent="0.25">
      <c r="A7" s="108" t="s">
        <v>134</v>
      </c>
      <c r="B7" s="110">
        <v>31385813</v>
      </c>
      <c r="C7" s="109">
        <v>168000</v>
      </c>
      <c r="D7" s="111">
        <v>30051465</v>
      </c>
      <c r="E7" s="112">
        <v>83160</v>
      </c>
      <c r="F7" s="111">
        <v>36905116</v>
      </c>
      <c r="G7" s="132"/>
    </row>
    <row r="8" spans="1:7" x14ac:dyDescent="0.25">
      <c r="A8" s="108" t="s">
        <v>135</v>
      </c>
      <c r="B8" s="110">
        <v>10991662</v>
      </c>
      <c r="C8" s="113"/>
      <c r="D8" s="111">
        <v>13578138</v>
      </c>
      <c r="E8" s="112">
        <v>155925</v>
      </c>
      <c r="F8" s="111">
        <v>12653709</v>
      </c>
      <c r="G8" s="132"/>
    </row>
    <row r="9" spans="1:7" x14ac:dyDescent="0.25">
      <c r="A9" s="108" t="s">
        <v>136</v>
      </c>
      <c r="B9" s="110">
        <v>11892951</v>
      </c>
      <c r="C9" s="109">
        <v>404437.5</v>
      </c>
      <c r="D9" s="111">
        <v>12255044</v>
      </c>
      <c r="E9" s="112">
        <v>446985</v>
      </c>
      <c r="F9" s="111">
        <v>25428344</v>
      </c>
      <c r="G9" s="132">
        <v>17325</v>
      </c>
    </row>
    <row r="10" spans="1:7" x14ac:dyDescent="0.25">
      <c r="A10" s="108" t="s">
        <v>137</v>
      </c>
      <c r="B10" s="110">
        <v>33885949</v>
      </c>
      <c r="C10" s="113"/>
      <c r="D10" s="111">
        <v>35916429</v>
      </c>
      <c r="E10" s="112">
        <v>155925</v>
      </c>
      <c r="F10" s="111">
        <v>43410933</v>
      </c>
      <c r="G10" s="132"/>
    </row>
    <row r="11" spans="1:7" x14ac:dyDescent="0.25">
      <c r="A11" s="108" t="s">
        <v>138</v>
      </c>
      <c r="B11" s="110">
        <v>35487707</v>
      </c>
      <c r="C11" s="113"/>
      <c r="D11" s="111">
        <v>37798498</v>
      </c>
      <c r="E11" s="112">
        <v>155925</v>
      </c>
      <c r="F11" s="111">
        <v>43717961</v>
      </c>
      <c r="G11" s="132"/>
    </row>
    <row r="12" spans="1:7" x14ac:dyDescent="0.25">
      <c r="A12" s="108" t="s">
        <v>120</v>
      </c>
      <c r="B12" s="110">
        <v>25854100</v>
      </c>
      <c r="C12" s="109">
        <v>286072.97499999998</v>
      </c>
      <c r="D12" s="110">
        <v>26040903</v>
      </c>
      <c r="E12" s="112">
        <v>681450</v>
      </c>
      <c r="F12" s="79">
        <v>30173612</v>
      </c>
      <c r="G12" s="132"/>
    </row>
    <row r="13" spans="1:7" x14ac:dyDescent="0.25">
      <c r="A13" s="108" t="s">
        <v>139</v>
      </c>
      <c r="B13" s="110">
        <v>15785518</v>
      </c>
      <c r="C13" s="113"/>
      <c r="D13" s="110">
        <v>20611208</v>
      </c>
      <c r="E13" s="112"/>
      <c r="F13" s="79">
        <v>13319000</v>
      </c>
      <c r="G13" s="132"/>
    </row>
    <row r="14" spans="1:7" x14ac:dyDescent="0.25">
      <c r="A14" s="108" t="s">
        <v>167</v>
      </c>
      <c r="B14" s="110"/>
      <c r="C14" s="113"/>
      <c r="D14" s="110"/>
      <c r="E14" s="112"/>
      <c r="F14" s="79">
        <v>42575120</v>
      </c>
      <c r="G14" s="132"/>
    </row>
    <row r="15" spans="1:7" x14ac:dyDescent="0.25">
      <c r="A15" s="114" t="s">
        <v>140</v>
      </c>
      <c r="B15" s="79">
        <v>49338766</v>
      </c>
      <c r="C15" s="109">
        <v>5355000</v>
      </c>
      <c r="D15" s="79">
        <v>48261610</v>
      </c>
      <c r="E15" s="112">
        <v>4535685</v>
      </c>
      <c r="F15" s="79">
        <v>65062836</v>
      </c>
      <c r="G15" s="132">
        <v>595980</v>
      </c>
    </row>
    <row r="16" spans="1:7" x14ac:dyDescent="0.25">
      <c r="A16" s="108" t="s">
        <v>141</v>
      </c>
      <c r="B16" s="110">
        <v>23826717</v>
      </c>
      <c r="C16" s="109">
        <v>4613952</v>
      </c>
      <c r="D16" s="110">
        <v>8836042</v>
      </c>
      <c r="E16" s="112"/>
      <c r="F16" s="79">
        <v>11118178</v>
      </c>
      <c r="G16" s="132"/>
    </row>
    <row r="17" spans="1:8" x14ac:dyDescent="0.25">
      <c r="A17" s="108" t="s">
        <v>142</v>
      </c>
      <c r="B17" s="110">
        <v>48008314</v>
      </c>
      <c r="C17" s="109">
        <v>4206870</v>
      </c>
      <c r="D17" s="111">
        <v>51096545</v>
      </c>
      <c r="E17" s="112">
        <v>4989600</v>
      </c>
      <c r="F17" s="111">
        <v>60468307</v>
      </c>
      <c r="G17" s="132">
        <v>263340</v>
      </c>
    </row>
    <row r="18" spans="1:8" x14ac:dyDescent="0.25">
      <c r="A18" s="108" t="s">
        <v>143</v>
      </c>
      <c r="B18" s="110">
        <v>14746801</v>
      </c>
      <c r="C18" s="109">
        <v>785160</v>
      </c>
      <c r="D18" s="111">
        <v>17858407</v>
      </c>
      <c r="E18" s="112">
        <v>580965</v>
      </c>
      <c r="F18" s="111">
        <v>21984015</v>
      </c>
      <c r="G18" s="132"/>
    </row>
    <row r="19" spans="1:8" x14ac:dyDescent="0.25">
      <c r="A19" s="108" t="s">
        <v>144</v>
      </c>
      <c r="B19" s="110">
        <v>30904774</v>
      </c>
      <c r="C19" s="109">
        <v>1911138.6</v>
      </c>
      <c r="D19" s="111">
        <v>30132802</v>
      </c>
      <c r="E19" s="112">
        <v>814275</v>
      </c>
      <c r="F19" s="111">
        <v>34628707</v>
      </c>
      <c r="G19" s="132">
        <v>52021</v>
      </c>
    </row>
    <row r="20" spans="1:8" x14ac:dyDescent="0.25">
      <c r="A20" s="115" t="s">
        <v>145</v>
      </c>
      <c r="B20" s="117">
        <v>38182341</v>
      </c>
      <c r="C20" s="116">
        <v>437452.5</v>
      </c>
      <c r="D20" s="117">
        <v>36346205</v>
      </c>
      <c r="E20" s="112"/>
      <c r="F20" s="117">
        <v>44472424</v>
      </c>
      <c r="G20" s="132"/>
    </row>
    <row r="21" spans="1:8" ht="13.8" thickBot="1" x14ac:dyDescent="0.3">
      <c r="A21" s="118" t="s">
        <v>146</v>
      </c>
      <c r="B21" s="119">
        <f t="shared" ref="B21:G21" si="0">SUM(B6:B20)</f>
        <v>410466709</v>
      </c>
      <c r="C21" s="119">
        <f t="shared" si="0"/>
        <v>19132208.575000003</v>
      </c>
      <c r="D21" s="119">
        <f t="shared" si="0"/>
        <v>410048174</v>
      </c>
      <c r="E21" s="120">
        <f t="shared" si="0"/>
        <v>13249583</v>
      </c>
      <c r="F21" s="119">
        <f t="shared" si="0"/>
        <v>544813404</v>
      </c>
      <c r="G21" s="120">
        <f t="shared" si="0"/>
        <v>928666</v>
      </c>
    </row>
    <row r="22" spans="1:8" ht="14.4" x14ac:dyDescent="0.3">
      <c r="B22" s="122" t="s">
        <v>177</v>
      </c>
      <c r="C22" s="105"/>
      <c r="D22" s="123"/>
      <c r="E22" s="123"/>
      <c r="F22" s="105"/>
      <c r="G22" s="4"/>
      <c r="H22" s="4"/>
    </row>
    <row r="23" spans="1:8" ht="14.4" x14ac:dyDescent="0.3">
      <c r="B23" s="122" t="s">
        <v>178</v>
      </c>
      <c r="C23" s="105"/>
      <c r="D23" s="123"/>
      <c r="G23" s="4"/>
      <c r="H23" s="4"/>
    </row>
    <row r="24" spans="1:8" ht="14.4" x14ac:dyDescent="0.3">
      <c r="A24" s="4"/>
      <c r="B24" s="122" t="s">
        <v>179</v>
      </c>
      <c r="C24" s="105"/>
      <c r="D24" s="4"/>
      <c r="E24" s="4"/>
      <c r="F24" s="4"/>
      <c r="G24" s="4"/>
      <c r="H24" s="4"/>
    </row>
    <row r="25" spans="1:8" x14ac:dyDescent="0.25">
      <c r="D25" s="204"/>
      <c r="E25" s="204"/>
    </row>
    <row r="27" spans="1:8" x14ac:dyDescent="0.25">
      <c r="D27" s="204"/>
    </row>
    <row r="28" spans="1:8" x14ac:dyDescent="0.25">
      <c r="D28" s="204"/>
    </row>
  </sheetData>
  <mergeCells count="6">
    <mergeCell ref="A1:G2"/>
    <mergeCell ref="C3:E3"/>
    <mergeCell ref="A4:A5"/>
    <mergeCell ref="B4:C4"/>
    <mergeCell ref="D4:E4"/>
    <mergeCell ref="F4:G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6"/>
  <sheetViews>
    <sheetView workbookViewId="0">
      <selection activeCell="L34" sqref="L34"/>
    </sheetView>
  </sheetViews>
  <sheetFormatPr defaultColWidth="9.109375" defaultRowHeight="13.2" x14ac:dyDescent="0.25"/>
  <cols>
    <col min="1" max="1" width="30.6640625" style="17" customWidth="1"/>
    <col min="2" max="2" width="10" style="17" bestFit="1" customWidth="1"/>
    <col min="3" max="3" width="9.109375" style="17"/>
    <col min="4" max="4" width="10" style="17" bestFit="1" customWidth="1"/>
    <col min="5" max="16384" width="9.109375" style="17"/>
  </cols>
  <sheetData>
    <row r="1" spans="1:4" x14ac:dyDescent="0.25">
      <c r="A1" s="339" t="s">
        <v>198</v>
      </c>
      <c r="B1" s="339"/>
      <c r="C1" s="339"/>
      <c r="D1" s="339"/>
    </row>
    <row r="2" spans="1:4" x14ac:dyDescent="0.25">
      <c r="A2" s="339"/>
      <c r="B2" s="339"/>
      <c r="C2" s="339"/>
      <c r="D2" s="339"/>
    </row>
    <row r="3" spans="1:4" x14ac:dyDescent="0.25">
      <c r="A3" s="135"/>
      <c r="B3" s="135"/>
      <c r="C3" s="4"/>
      <c r="D3" s="4"/>
    </row>
    <row r="4" spans="1:4" x14ac:dyDescent="0.25">
      <c r="A4" s="136" t="s">
        <v>152</v>
      </c>
      <c r="B4" s="137" t="s">
        <v>191</v>
      </c>
      <c r="C4" s="137" t="s">
        <v>192</v>
      </c>
      <c r="D4" s="137">
        <v>2022</v>
      </c>
    </row>
    <row r="5" spans="1:4" x14ac:dyDescent="0.25">
      <c r="A5" s="138" t="s">
        <v>133</v>
      </c>
      <c r="B5" s="139">
        <v>131081</v>
      </c>
      <c r="C5" s="139">
        <v>13000</v>
      </c>
      <c r="D5" s="139">
        <v>0</v>
      </c>
    </row>
    <row r="6" spans="1:4" x14ac:dyDescent="0.25">
      <c r="A6" s="138" t="s">
        <v>134</v>
      </c>
      <c r="B6" s="139">
        <v>58390</v>
      </c>
      <c r="C6" s="139">
        <v>0</v>
      </c>
      <c r="D6" s="139">
        <f>+[1]beszámolóba!B5</f>
        <v>11737</v>
      </c>
    </row>
    <row r="7" spans="1:4" x14ac:dyDescent="0.25">
      <c r="A7" s="138" t="s">
        <v>135</v>
      </c>
      <c r="B7" s="139">
        <v>42418</v>
      </c>
      <c r="C7" s="139">
        <v>0</v>
      </c>
      <c r="D7" s="139">
        <v>0</v>
      </c>
    </row>
    <row r="8" spans="1:4" x14ac:dyDescent="0.25">
      <c r="A8" s="138" t="s">
        <v>136</v>
      </c>
      <c r="B8" s="139">
        <v>43607</v>
      </c>
      <c r="C8" s="139">
        <v>14620</v>
      </c>
      <c r="D8" s="139">
        <f>+[1]beszámolóba!C5</f>
        <v>56640</v>
      </c>
    </row>
    <row r="9" spans="1:4" x14ac:dyDescent="0.25">
      <c r="A9" s="138" t="s">
        <v>137</v>
      </c>
      <c r="B9" s="139">
        <v>80062</v>
      </c>
      <c r="C9" s="139">
        <v>21241</v>
      </c>
      <c r="D9" s="139">
        <f>+[1]beszámolóba!D5</f>
        <v>50000</v>
      </c>
    </row>
    <row r="10" spans="1:4" x14ac:dyDescent="0.25">
      <c r="A10" s="138" t="s">
        <v>193</v>
      </c>
      <c r="B10" s="139">
        <v>32196</v>
      </c>
      <c r="C10" s="139">
        <v>0</v>
      </c>
      <c r="D10" s="139">
        <f>+[1]beszámolóba!E5</f>
        <v>3790049</v>
      </c>
    </row>
    <row r="11" spans="1:4" x14ac:dyDescent="0.25">
      <c r="A11" s="138" t="s">
        <v>120</v>
      </c>
      <c r="B11" s="139">
        <v>23199</v>
      </c>
      <c r="C11" s="139">
        <v>0</v>
      </c>
      <c r="D11" s="139">
        <v>0</v>
      </c>
    </row>
    <row r="12" spans="1:4" x14ac:dyDescent="0.25">
      <c r="A12" s="138" t="s">
        <v>139</v>
      </c>
      <c r="B12" s="139">
        <v>18708</v>
      </c>
      <c r="C12" s="139">
        <v>0</v>
      </c>
      <c r="D12" s="139">
        <v>0</v>
      </c>
    </row>
    <row r="13" spans="1:4" x14ac:dyDescent="0.25">
      <c r="A13" s="138" t="s">
        <v>194</v>
      </c>
      <c r="B13" s="139">
        <v>47854</v>
      </c>
      <c r="C13" s="139">
        <v>105054</v>
      </c>
      <c r="D13" s="139">
        <f>+[1]beszámolóba!F5</f>
        <v>50602</v>
      </c>
    </row>
    <row r="14" spans="1:4" x14ac:dyDescent="0.25">
      <c r="A14" s="138" t="s">
        <v>142</v>
      </c>
      <c r="B14" s="139">
        <v>63850</v>
      </c>
      <c r="C14" s="139">
        <v>10378</v>
      </c>
      <c r="D14" s="139">
        <f>+[1]beszámolóba!G5</f>
        <v>47430</v>
      </c>
    </row>
    <row r="15" spans="1:4" x14ac:dyDescent="0.25">
      <c r="A15" s="138" t="s">
        <v>143</v>
      </c>
      <c r="B15" s="139">
        <v>219991</v>
      </c>
      <c r="C15" s="139">
        <v>216941</v>
      </c>
      <c r="D15" s="139">
        <f>+[1]beszámolóba!I5</f>
        <v>62617</v>
      </c>
    </row>
    <row r="16" spans="1:4" x14ac:dyDescent="0.25">
      <c r="A16" s="138" t="s">
        <v>158</v>
      </c>
      <c r="B16" s="139">
        <v>0</v>
      </c>
      <c r="C16" s="139">
        <v>0</v>
      </c>
      <c r="D16" s="139">
        <v>12605</v>
      </c>
    </row>
    <row r="17" spans="1:4" x14ac:dyDescent="0.25">
      <c r="A17" s="138" t="s">
        <v>144</v>
      </c>
      <c r="B17" s="139">
        <v>43797</v>
      </c>
      <c r="C17" s="139">
        <v>0</v>
      </c>
      <c r="D17" s="139">
        <v>0</v>
      </c>
    </row>
    <row r="18" spans="1:4" x14ac:dyDescent="0.25">
      <c r="A18" s="138" t="s">
        <v>160</v>
      </c>
      <c r="B18" s="139">
        <v>105023</v>
      </c>
      <c r="C18" s="139">
        <v>272956</v>
      </c>
      <c r="D18" s="139">
        <f>+[1]beszámolóba!J5</f>
        <v>566086</v>
      </c>
    </row>
    <row r="19" spans="1:4" x14ac:dyDescent="0.25">
      <c r="A19" s="140" t="s">
        <v>195</v>
      </c>
      <c r="B19" s="141">
        <f>SUM(B5:B18)</f>
        <v>910176</v>
      </c>
      <c r="C19" s="141">
        <f>SUM(C5:C18)</f>
        <v>654190</v>
      </c>
      <c r="D19" s="141">
        <f>SUM(D5:D18)</f>
        <v>4647766</v>
      </c>
    </row>
    <row r="20" spans="1:4" x14ac:dyDescent="0.25">
      <c r="A20" s="142"/>
      <c r="B20" s="143"/>
      <c r="C20" s="143"/>
      <c r="D20" s="4"/>
    </row>
    <row r="21" spans="1:4" x14ac:dyDescent="0.25">
      <c r="A21" s="136" t="s">
        <v>196</v>
      </c>
      <c r="B21" s="137" t="s">
        <v>191</v>
      </c>
      <c r="C21" s="137" t="s">
        <v>192</v>
      </c>
      <c r="D21" s="137">
        <v>2022</v>
      </c>
    </row>
    <row r="22" spans="1:4" x14ac:dyDescent="0.25">
      <c r="A22" s="144" t="s">
        <v>133</v>
      </c>
      <c r="B22" s="139">
        <v>277120</v>
      </c>
      <c r="C22" s="139">
        <v>0</v>
      </c>
      <c r="D22" s="139">
        <v>0</v>
      </c>
    </row>
    <row r="23" spans="1:4" x14ac:dyDescent="0.25">
      <c r="A23" s="144" t="s">
        <v>134</v>
      </c>
      <c r="B23" s="139">
        <v>500411</v>
      </c>
      <c r="C23" s="139">
        <v>0</v>
      </c>
      <c r="D23" s="139">
        <v>0</v>
      </c>
    </row>
    <row r="24" spans="1:4" x14ac:dyDescent="0.25">
      <c r="A24" s="144" t="s">
        <v>135</v>
      </c>
      <c r="B24" s="139">
        <v>63035</v>
      </c>
      <c r="C24" s="139">
        <v>0</v>
      </c>
      <c r="D24" s="139">
        <v>0</v>
      </c>
    </row>
    <row r="25" spans="1:4" x14ac:dyDescent="0.25">
      <c r="A25" s="144" t="s">
        <v>136</v>
      </c>
      <c r="B25" s="139">
        <v>0</v>
      </c>
      <c r="C25" s="139">
        <v>0</v>
      </c>
      <c r="D25" s="139">
        <v>0</v>
      </c>
    </row>
    <row r="26" spans="1:4" x14ac:dyDescent="0.25">
      <c r="A26" s="144" t="s">
        <v>137</v>
      </c>
      <c r="B26" s="139">
        <v>567690</v>
      </c>
      <c r="C26" s="139">
        <v>0</v>
      </c>
      <c r="D26" s="139">
        <v>0</v>
      </c>
    </row>
    <row r="27" spans="1:4" x14ac:dyDescent="0.25">
      <c r="A27" s="144" t="s">
        <v>193</v>
      </c>
      <c r="B27" s="139">
        <v>2349233</v>
      </c>
      <c r="C27" s="139">
        <v>0</v>
      </c>
      <c r="D27" s="139">
        <f>+[1]beszámolóba!E18</f>
        <v>2025650</v>
      </c>
    </row>
    <row r="28" spans="1:4" x14ac:dyDescent="0.25">
      <c r="A28" s="144" t="s">
        <v>120</v>
      </c>
      <c r="B28" s="139">
        <v>189230</v>
      </c>
      <c r="C28" s="139">
        <v>0</v>
      </c>
      <c r="D28" s="139">
        <v>0</v>
      </c>
    </row>
    <row r="29" spans="1:4" x14ac:dyDescent="0.25">
      <c r="A29" s="144" t="s">
        <v>139</v>
      </c>
      <c r="B29" s="139">
        <v>404978</v>
      </c>
      <c r="C29" s="139">
        <v>0</v>
      </c>
      <c r="D29" s="139">
        <v>0</v>
      </c>
    </row>
    <row r="30" spans="1:4" x14ac:dyDescent="0.25">
      <c r="A30" s="144" t="s">
        <v>194</v>
      </c>
      <c r="B30" s="139">
        <v>0</v>
      </c>
      <c r="C30" s="139">
        <v>0</v>
      </c>
      <c r="D30" s="139">
        <v>0</v>
      </c>
    </row>
    <row r="31" spans="1:4" x14ac:dyDescent="0.25">
      <c r="A31" s="144" t="s">
        <v>142</v>
      </c>
      <c r="B31" s="139">
        <v>0</v>
      </c>
      <c r="C31" s="139">
        <v>0</v>
      </c>
      <c r="D31" s="139">
        <v>0</v>
      </c>
    </row>
    <row r="32" spans="1:4" x14ac:dyDescent="0.25">
      <c r="A32" s="138" t="s">
        <v>158</v>
      </c>
      <c r="B32" s="139">
        <v>0</v>
      </c>
      <c r="C32" s="139">
        <v>0</v>
      </c>
      <c r="D32" s="139">
        <v>0</v>
      </c>
    </row>
    <row r="33" spans="1:4" x14ac:dyDescent="0.25">
      <c r="A33" s="144" t="s">
        <v>143</v>
      </c>
      <c r="B33" s="139">
        <v>303811</v>
      </c>
      <c r="C33" s="139">
        <v>0</v>
      </c>
      <c r="D33" s="139">
        <f>+[1]beszámolóba!I18</f>
        <v>126765</v>
      </c>
    </row>
    <row r="34" spans="1:4" x14ac:dyDescent="0.25">
      <c r="A34" s="144" t="s">
        <v>144</v>
      </c>
      <c r="B34" s="139">
        <v>0</v>
      </c>
      <c r="C34" s="139">
        <v>0</v>
      </c>
      <c r="D34" s="139">
        <v>0</v>
      </c>
    </row>
    <row r="35" spans="1:4" x14ac:dyDescent="0.25">
      <c r="A35" s="144" t="s">
        <v>160</v>
      </c>
      <c r="B35" s="139">
        <v>756920</v>
      </c>
      <c r="C35" s="139">
        <v>0</v>
      </c>
      <c r="D35" s="139">
        <v>0</v>
      </c>
    </row>
    <row r="36" spans="1:4" x14ac:dyDescent="0.25">
      <c r="A36" s="145" t="s">
        <v>197</v>
      </c>
      <c r="B36" s="146">
        <f>SUM(B22:B35)</f>
        <v>5412428</v>
      </c>
      <c r="C36" s="146">
        <f>SUM(C22:C35)</f>
        <v>0</v>
      </c>
      <c r="D36" s="146">
        <f>SUM(D22:D35)</f>
        <v>2152415</v>
      </c>
    </row>
  </sheetData>
  <mergeCells count="1">
    <mergeCell ref="A1:D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0"/>
  <sheetViews>
    <sheetView workbookViewId="0">
      <selection activeCell="M26" sqref="M26"/>
    </sheetView>
  </sheetViews>
  <sheetFormatPr defaultRowHeight="13.2" x14ac:dyDescent="0.25"/>
  <cols>
    <col min="1" max="1" width="22.109375" bestFit="1" customWidth="1"/>
    <col min="2" max="11" width="11.6640625" customWidth="1"/>
  </cols>
  <sheetData>
    <row r="1" spans="1:11" x14ac:dyDescent="0.25">
      <c r="A1" s="345" t="s">
        <v>199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</row>
    <row r="2" spans="1:11" x14ac:dyDescent="0.25">
      <c r="A2" s="345"/>
      <c r="B2" s="345"/>
      <c r="C2" s="345"/>
      <c r="D2" s="345"/>
      <c r="E2" s="345"/>
      <c r="F2" s="345"/>
      <c r="G2" s="345"/>
      <c r="H2" s="345"/>
      <c r="I2" s="345"/>
      <c r="J2" s="345"/>
      <c r="K2" s="345"/>
    </row>
    <row r="3" spans="1:1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39.6" x14ac:dyDescent="0.25">
      <c r="A4" s="147" t="s">
        <v>200</v>
      </c>
      <c r="B4" s="148" t="s">
        <v>217</v>
      </c>
      <c r="C4" s="148" t="s">
        <v>201</v>
      </c>
      <c r="D4" s="148" t="s">
        <v>137</v>
      </c>
      <c r="E4" s="148" t="s">
        <v>119</v>
      </c>
      <c r="F4" s="148" t="s">
        <v>140</v>
      </c>
      <c r="G4" s="148" t="s">
        <v>159</v>
      </c>
      <c r="H4" s="148" t="s">
        <v>158</v>
      </c>
      <c r="I4" s="148" t="s">
        <v>161</v>
      </c>
      <c r="J4" s="148" t="s">
        <v>160</v>
      </c>
      <c r="K4" s="148" t="s">
        <v>202</v>
      </c>
    </row>
    <row r="5" spans="1:11" x14ac:dyDescent="0.25">
      <c r="A5" s="149" t="s">
        <v>203</v>
      </c>
      <c r="B5" s="150">
        <f t="shared" ref="B5:K5" si="0">SUM(B6:B13)</f>
        <v>11737</v>
      </c>
      <c r="C5" s="150">
        <f t="shared" si="0"/>
        <v>56640</v>
      </c>
      <c r="D5" s="150">
        <f t="shared" si="0"/>
        <v>50000</v>
      </c>
      <c r="E5" s="150">
        <f t="shared" si="0"/>
        <v>3790049</v>
      </c>
      <c r="F5" s="150">
        <f t="shared" si="0"/>
        <v>50602</v>
      </c>
      <c r="G5" s="150">
        <f t="shared" si="0"/>
        <v>47430</v>
      </c>
      <c r="H5" s="150">
        <f t="shared" si="0"/>
        <v>12605</v>
      </c>
      <c r="I5" s="150">
        <f t="shared" si="0"/>
        <v>62617</v>
      </c>
      <c r="J5" s="150">
        <f t="shared" si="0"/>
        <v>566086</v>
      </c>
      <c r="K5" s="150">
        <f t="shared" si="0"/>
        <v>819869</v>
      </c>
    </row>
    <row r="6" spans="1:11" x14ac:dyDescent="0.25">
      <c r="A6" s="151" t="s">
        <v>204</v>
      </c>
      <c r="B6" s="152">
        <v>0</v>
      </c>
      <c r="C6" s="152">
        <v>0</v>
      </c>
      <c r="D6" s="152">
        <v>0</v>
      </c>
      <c r="E6" s="152">
        <v>0</v>
      </c>
      <c r="F6" s="152">
        <v>0</v>
      </c>
      <c r="G6" s="152">
        <v>0</v>
      </c>
      <c r="H6" s="152">
        <v>0</v>
      </c>
      <c r="I6" s="152">
        <v>0</v>
      </c>
      <c r="J6" s="152">
        <v>55118</v>
      </c>
      <c r="K6" s="152">
        <v>317323</v>
      </c>
    </row>
    <row r="7" spans="1:11" x14ac:dyDescent="0.25">
      <c r="A7" s="151" t="s">
        <v>205</v>
      </c>
      <c r="B7" s="152">
        <v>0</v>
      </c>
      <c r="C7" s="152">
        <v>0</v>
      </c>
      <c r="D7" s="152">
        <v>0</v>
      </c>
      <c r="E7" s="152">
        <v>-5</v>
      </c>
      <c r="F7" s="152">
        <v>39844</v>
      </c>
      <c r="G7" s="152">
        <v>0</v>
      </c>
      <c r="H7" s="152">
        <v>0</v>
      </c>
      <c r="I7" s="152">
        <v>0</v>
      </c>
      <c r="J7" s="152">
        <v>121587</v>
      </c>
      <c r="K7" s="152">
        <v>0</v>
      </c>
    </row>
    <row r="8" spans="1:11" x14ac:dyDescent="0.25">
      <c r="A8" s="151" t="s">
        <v>206</v>
      </c>
      <c r="B8" s="152">
        <v>11737</v>
      </c>
      <c r="C8" s="152">
        <v>52996</v>
      </c>
      <c r="D8" s="152">
        <v>0</v>
      </c>
      <c r="E8" s="152">
        <v>35432</v>
      </c>
      <c r="F8" s="152">
        <v>0</v>
      </c>
      <c r="G8" s="152">
        <v>39330</v>
      </c>
      <c r="H8" s="152">
        <v>0</v>
      </c>
      <c r="I8" s="152">
        <v>0</v>
      </c>
      <c r="J8" s="152">
        <v>0</v>
      </c>
      <c r="K8" s="152">
        <v>50460</v>
      </c>
    </row>
    <row r="9" spans="1:11" x14ac:dyDescent="0.25">
      <c r="A9" s="151" t="s">
        <v>207</v>
      </c>
      <c r="B9" s="152">
        <v>0</v>
      </c>
      <c r="C9" s="152">
        <v>3644</v>
      </c>
      <c r="D9" s="152">
        <v>0</v>
      </c>
      <c r="E9" s="152">
        <v>742051</v>
      </c>
      <c r="F9" s="152">
        <v>10758</v>
      </c>
      <c r="G9" s="152">
        <v>0</v>
      </c>
      <c r="H9" s="152">
        <v>2680</v>
      </c>
      <c r="I9" s="152">
        <v>13312</v>
      </c>
      <c r="J9" s="152">
        <v>113343</v>
      </c>
      <c r="K9" s="152">
        <v>92086</v>
      </c>
    </row>
    <row r="10" spans="1:11" x14ac:dyDescent="0.25">
      <c r="A10" s="151" t="s">
        <v>208</v>
      </c>
      <c r="B10" s="152">
        <v>0</v>
      </c>
      <c r="C10" s="152">
        <v>0</v>
      </c>
      <c r="D10" s="152">
        <v>50000</v>
      </c>
      <c r="E10" s="152">
        <v>272500</v>
      </c>
      <c r="F10" s="152">
        <v>0</v>
      </c>
      <c r="G10" s="152">
        <v>0</v>
      </c>
      <c r="H10" s="152">
        <v>0</v>
      </c>
      <c r="I10" s="152">
        <v>0</v>
      </c>
      <c r="J10" s="152">
        <v>146124</v>
      </c>
      <c r="K10" s="152">
        <v>360000</v>
      </c>
    </row>
    <row r="11" spans="1:11" x14ac:dyDescent="0.25">
      <c r="A11" s="151" t="s">
        <v>209</v>
      </c>
      <c r="B11" s="152">
        <v>0</v>
      </c>
      <c r="C11" s="152">
        <v>0</v>
      </c>
      <c r="D11" s="152">
        <v>0</v>
      </c>
      <c r="E11" s="152">
        <v>0</v>
      </c>
      <c r="F11" s="152">
        <v>0</v>
      </c>
      <c r="G11" s="152">
        <v>8100</v>
      </c>
      <c r="H11" s="152">
        <v>0</v>
      </c>
      <c r="I11" s="152">
        <v>0</v>
      </c>
      <c r="J11" s="152">
        <v>0</v>
      </c>
      <c r="K11" s="152">
        <v>0</v>
      </c>
    </row>
    <row r="12" spans="1:11" x14ac:dyDescent="0.25">
      <c r="A12" s="151" t="s">
        <v>210</v>
      </c>
      <c r="B12" s="152">
        <v>0</v>
      </c>
      <c r="C12" s="152">
        <v>0</v>
      </c>
      <c r="D12" s="152">
        <v>0</v>
      </c>
      <c r="E12" s="152">
        <v>2734331</v>
      </c>
      <c r="F12" s="152">
        <v>0</v>
      </c>
      <c r="G12" s="152">
        <v>0</v>
      </c>
      <c r="H12" s="152">
        <v>0</v>
      </c>
      <c r="I12" s="152">
        <v>49305</v>
      </c>
      <c r="J12" s="152">
        <v>92727</v>
      </c>
      <c r="K12" s="152">
        <v>0</v>
      </c>
    </row>
    <row r="13" spans="1:11" x14ac:dyDescent="0.25">
      <c r="A13" s="151" t="s">
        <v>211</v>
      </c>
      <c r="B13" s="152">
        <v>0</v>
      </c>
      <c r="C13" s="152">
        <v>0</v>
      </c>
      <c r="D13" s="152">
        <v>0</v>
      </c>
      <c r="E13" s="152">
        <v>5740</v>
      </c>
      <c r="F13" s="152">
        <v>0</v>
      </c>
      <c r="G13" s="152">
        <v>0</v>
      </c>
      <c r="H13" s="152">
        <v>9925</v>
      </c>
      <c r="I13" s="152">
        <v>0</v>
      </c>
      <c r="J13" s="152">
        <v>37187</v>
      </c>
      <c r="K13" s="152">
        <v>0</v>
      </c>
    </row>
    <row r="14" spans="1:11" x14ac:dyDescent="0.25">
      <c r="A14" s="149" t="s">
        <v>212</v>
      </c>
      <c r="B14" s="150">
        <f t="shared" ref="B14:K14" si="1">SUM(B15)</f>
        <v>0</v>
      </c>
      <c r="C14" s="150">
        <f t="shared" si="1"/>
        <v>142800</v>
      </c>
      <c r="D14" s="150">
        <f t="shared" si="1"/>
        <v>0</v>
      </c>
      <c r="E14" s="150">
        <f t="shared" si="1"/>
        <v>219166</v>
      </c>
      <c r="F14" s="150">
        <f t="shared" si="1"/>
        <v>0</v>
      </c>
      <c r="G14" s="150">
        <f t="shared" si="1"/>
        <v>0</v>
      </c>
      <c r="H14" s="150">
        <f t="shared" si="1"/>
        <v>0</v>
      </c>
      <c r="I14" s="150">
        <f t="shared" si="1"/>
        <v>0</v>
      </c>
      <c r="J14" s="150">
        <f t="shared" si="1"/>
        <v>0</v>
      </c>
      <c r="K14" s="150">
        <f t="shared" si="1"/>
        <v>0</v>
      </c>
    </row>
    <row r="15" spans="1:11" x14ac:dyDescent="0.25">
      <c r="A15" s="153" t="s">
        <v>213</v>
      </c>
      <c r="B15" s="152"/>
      <c r="C15" s="152">
        <v>142800</v>
      </c>
      <c r="D15" s="152">
        <v>0</v>
      </c>
      <c r="E15" s="152">
        <v>219166</v>
      </c>
      <c r="F15" s="152"/>
      <c r="G15" s="152"/>
      <c r="H15" s="152"/>
      <c r="I15" s="152"/>
      <c r="J15" s="152"/>
      <c r="K15" s="152"/>
    </row>
    <row r="16" spans="1:11" x14ac:dyDescent="0.25">
      <c r="A16" s="149" t="s">
        <v>118</v>
      </c>
      <c r="B16" s="150">
        <f t="shared" ref="B16:K16" si="2">SUM(B17:B19)</f>
        <v>0</v>
      </c>
      <c r="C16" s="150">
        <f t="shared" si="2"/>
        <v>0</v>
      </c>
      <c r="D16" s="150">
        <f t="shared" si="2"/>
        <v>0</v>
      </c>
      <c r="E16" s="150">
        <f t="shared" si="2"/>
        <v>2025650</v>
      </c>
      <c r="F16" s="150">
        <f t="shared" si="2"/>
        <v>0</v>
      </c>
      <c r="G16" s="150">
        <f t="shared" si="2"/>
        <v>0</v>
      </c>
      <c r="H16" s="150">
        <f t="shared" si="2"/>
        <v>0</v>
      </c>
      <c r="I16" s="150">
        <f t="shared" si="2"/>
        <v>126765</v>
      </c>
      <c r="J16" s="150">
        <f t="shared" si="2"/>
        <v>0</v>
      </c>
      <c r="K16" s="150">
        <f t="shared" si="2"/>
        <v>0</v>
      </c>
    </row>
    <row r="17" spans="1:11" x14ac:dyDescent="0.25">
      <c r="A17" s="151" t="s">
        <v>214</v>
      </c>
      <c r="B17" s="152">
        <v>0</v>
      </c>
      <c r="C17" s="152">
        <v>0</v>
      </c>
      <c r="D17" s="152">
        <v>0</v>
      </c>
      <c r="E17" s="152">
        <v>430650</v>
      </c>
      <c r="F17" s="152">
        <v>0</v>
      </c>
      <c r="G17" s="152">
        <v>0</v>
      </c>
      <c r="H17" s="152">
        <v>0</v>
      </c>
      <c r="I17" s="152">
        <v>26950</v>
      </c>
      <c r="J17" s="152"/>
      <c r="K17" s="152"/>
    </row>
    <row r="18" spans="1:11" x14ac:dyDescent="0.25">
      <c r="A18" s="151" t="s">
        <v>215</v>
      </c>
      <c r="B18" s="152">
        <v>0</v>
      </c>
      <c r="C18" s="152">
        <v>0</v>
      </c>
      <c r="D18" s="152">
        <v>0</v>
      </c>
      <c r="E18" s="152">
        <v>0</v>
      </c>
      <c r="F18" s="152">
        <v>0</v>
      </c>
      <c r="G18" s="152">
        <v>0</v>
      </c>
      <c r="H18" s="152">
        <v>0</v>
      </c>
      <c r="I18" s="152">
        <v>99815</v>
      </c>
      <c r="J18" s="152"/>
      <c r="K18" s="152"/>
    </row>
    <row r="19" spans="1:11" x14ac:dyDescent="0.25">
      <c r="A19" s="151" t="s">
        <v>216</v>
      </c>
      <c r="B19" s="152">
        <v>0</v>
      </c>
      <c r="C19" s="152">
        <v>0</v>
      </c>
      <c r="D19" s="152">
        <v>0</v>
      </c>
      <c r="E19" s="152">
        <v>1595000</v>
      </c>
      <c r="F19" s="152">
        <v>0</v>
      </c>
      <c r="G19" s="152">
        <v>0</v>
      </c>
      <c r="H19" s="152">
        <v>0</v>
      </c>
      <c r="I19" s="152">
        <v>0</v>
      </c>
      <c r="J19" s="152">
        <v>0</v>
      </c>
      <c r="K19" s="152">
        <v>0</v>
      </c>
    </row>
    <row r="20" spans="1:11" x14ac:dyDescent="0.25">
      <c r="A20" s="154" t="s">
        <v>49</v>
      </c>
      <c r="B20" s="155">
        <f t="shared" ref="B20:K20" si="3">SUM(B16+B14+B5)</f>
        <v>11737</v>
      </c>
      <c r="C20" s="155">
        <f t="shared" si="3"/>
        <v>199440</v>
      </c>
      <c r="D20" s="155">
        <f t="shared" si="3"/>
        <v>50000</v>
      </c>
      <c r="E20" s="155">
        <f t="shared" si="3"/>
        <v>6034865</v>
      </c>
      <c r="F20" s="155">
        <f t="shared" si="3"/>
        <v>50602</v>
      </c>
      <c r="G20" s="155">
        <f t="shared" si="3"/>
        <v>47430</v>
      </c>
      <c r="H20" s="155">
        <f t="shared" si="3"/>
        <v>12605</v>
      </c>
      <c r="I20" s="155">
        <f t="shared" si="3"/>
        <v>189382</v>
      </c>
      <c r="J20" s="155">
        <f t="shared" si="3"/>
        <v>566086</v>
      </c>
      <c r="K20" s="155">
        <f t="shared" si="3"/>
        <v>819869</v>
      </c>
    </row>
  </sheetData>
  <mergeCells count="1">
    <mergeCell ref="A1:K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C38" sqref="C38"/>
    </sheetView>
  </sheetViews>
  <sheetFormatPr defaultColWidth="9.109375" defaultRowHeight="13.2" x14ac:dyDescent="0.25"/>
  <cols>
    <col min="1" max="1" width="19.44140625" style="17" bestFit="1" customWidth="1"/>
    <col min="2" max="2" width="20.33203125" style="17" bestFit="1" customWidth="1"/>
    <col min="3" max="8" width="9.109375" style="17"/>
    <col min="9" max="9" width="10.33203125" style="17" bestFit="1" customWidth="1"/>
    <col min="10" max="10" width="11.5546875" style="17" bestFit="1" customWidth="1"/>
    <col min="11" max="12" width="9.109375" style="17"/>
    <col min="13" max="13" width="9.33203125" style="17" bestFit="1" customWidth="1"/>
    <col min="14" max="16384" width="9.109375" style="17"/>
  </cols>
  <sheetData>
    <row r="1" spans="1:12" ht="13.2" customHeight="1" x14ac:dyDescent="0.25">
      <c r="A1" s="339" t="s">
        <v>264</v>
      </c>
      <c r="B1" s="339"/>
      <c r="C1" s="339"/>
      <c r="D1" s="339"/>
      <c r="E1" s="339"/>
    </row>
    <row r="2" spans="1:12" ht="13.2" customHeight="1" x14ac:dyDescent="0.25">
      <c r="A2" s="339"/>
      <c r="B2" s="339"/>
      <c r="C2" s="339"/>
      <c r="D2" s="339"/>
      <c r="E2" s="339"/>
    </row>
    <row r="3" spans="1:12" ht="13.8" thickBot="1" x14ac:dyDescent="0.3"/>
    <row r="4" spans="1:12" x14ac:dyDescent="0.25">
      <c r="A4" s="346"/>
      <c r="B4" s="247"/>
      <c r="C4" s="248">
        <v>43831</v>
      </c>
      <c r="D4" s="282">
        <v>44197</v>
      </c>
      <c r="E4" s="248">
        <v>44562</v>
      </c>
      <c r="F4" s="248">
        <v>44927</v>
      </c>
    </row>
    <row r="5" spans="1:12" ht="13.8" thickBot="1" x14ac:dyDescent="0.3">
      <c r="A5" s="347"/>
      <c r="B5" s="249" t="s">
        <v>265</v>
      </c>
      <c r="C5" s="250" t="s">
        <v>266</v>
      </c>
      <c r="D5" s="283" t="s">
        <v>266</v>
      </c>
      <c r="E5" s="250" t="s">
        <v>266</v>
      </c>
      <c r="F5" s="250" t="s">
        <v>266</v>
      </c>
    </row>
    <row r="6" spans="1:12" x14ac:dyDescent="0.25">
      <c r="A6" s="348" t="s">
        <v>267</v>
      </c>
      <c r="B6" s="251" t="s">
        <v>268</v>
      </c>
      <c r="C6" s="252">
        <v>26</v>
      </c>
      <c r="D6" s="284">
        <v>26</v>
      </c>
      <c r="E6" s="252">
        <v>24</v>
      </c>
      <c r="F6" s="252">
        <v>25</v>
      </c>
      <c r="I6" s="265" t="s">
        <v>289</v>
      </c>
      <c r="J6" s="266" t="s">
        <v>290</v>
      </c>
      <c r="K6" s="266" t="s">
        <v>291</v>
      </c>
      <c r="L6" s="267" t="s">
        <v>0</v>
      </c>
    </row>
    <row r="7" spans="1:12" x14ac:dyDescent="0.25">
      <c r="A7" s="349"/>
      <c r="B7" s="253" t="s">
        <v>269</v>
      </c>
      <c r="C7" s="254">
        <v>7</v>
      </c>
      <c r="D7" s="285">
        <v>19</v>
      </c>
      <c r="E7" s="254">
        <v>20</v>
      </c>
      <c r="F7" s="254">
        <v>20</v>
      </c>
      <c r="I7" s="268" t="s">
        <v>257</v>
      </c>
      <c r="J7" s="263">
        <v>6</v>
      </c>
      <c r="K7" s="263">
        <v>5</v>
      </c>
      <c r="L7" s="264">
        <v>11</v>
      </c>
    </row>
    <row r="8" spans="1:12" x14ac:dyDescent="0.25">
      <c r="A8" s="349"/>
      <c r="B8" s="253" t="s">
        <v>270</v>
      </c>
      <c r="C8" s="254">
        <v>1</v>
      </c>
      <c r="D8" s="285"/>
      <c r="E8" s="254"/>
      <c r="F8" s="254"/>
      <c r="I8" s="268" t="s">
        <v>260</v>
      </c>
      <c r="J8" s="263">
        <v>13</v>
      </c>
      <c r="K8" s="263">
        <v>9</v>
      </c>
      <c r="L8" s="264">
        <v>22</v>
      </c>
    </row>
    <row r="9" spans="1:12" x14ac:dyDescent="0.25">
      <c r="A9" s="349"/>
      <c r="B9" s="253" t="s">
        <v>271</v>
      </c>
      <c r="C9" s="254">
        <v>1</v>
      </c>
      <c r="D9" s="285">
        <v>3</v>
      </c>
      <c r="E9" s="254">
        <v>5</v>
      </c>
      <c r="F9" s="254">
        <v>5</v>
      </c>
      <c r="I9" s="268" t="s">
        <v>259</v>
      </c>
      <c r="J9" s="263">
        <v>11</v>
      </c>
      <c r="K9" s="263">
        <v>22</v>
      </c>
      <c r="L9" s="264">
        <v>33</v>
      </c>
    </row>
    <row r="10" spans="1:12" x14ac:dyDescent="0.25">
      <c r="A10" s="349"/>
      <c r="B10" s="253" t="s">
        <v>272</v>
      </c>
      <c r="C10" s="254">
        <v>14</v>
      </c>
      <c r="D10" s="285">
        <v>10</v>
      </c>
      <c r="E10" s="254">
        <v>10</v>
      </c>
      <c r="F10" s="254">
        <v>9</v>
      </c>
      <c r="I10" s="268" t="s">
        <v>258</v>
      </c>
      <c r="J10" s="263">
        <v>14</v>
      </c>
      <c r="K10" s="263">
        <v>9</v>
      </c>
      <c r="L10" s="264">
        <v>23</v>
      </c>
    </row>
    <row r="11" spans="1:12" ht="13.8" thickBot="1" x14ac:dyDescent="0.3">
      <c r="A11" s="349"/>
      <c r="B11" s="253" t="s">
        <v>273</v>
      </c>
      <c r="C11" s="254">
        <v>6</v>
      </c>
      <c r="D11" s="285">
        <v>5</v>
      </c>
      <c r="E11" s="254">
        <v>3</v>
      </c>
      <c r="F11" s="254">
        <v>3</v>
      </c>
      <c r="I11" s="269" t="s">
        <v>0</v>
      </c>
      <c r="J11" s="270">
        <v>44</v>
      </c>
      <c r="K11" s="270">
        <v>45</v>
      </c>
      <c r="L11" s="271">
        <v>89</v>
      </c>
    </row>
    <row r="12" spans="1:12" x14ac:dyDescent="0.25">
      <c r="A12" s="349"/>
      <c r="B12" s="253" t="s">
        <v>274</v>
      </c>
      <c r="C12" s="254">
        <v>8</v>
      </c>
      <c r="D12" s="285">
        <v>8</v>
      </c>
      <c r="E12" s="254">
        <v>7</v>
      </c>
      <c r="F12" s="254">
        <v>6</v>
      </c>
    </row>
    <row r="13" spans="1:12" x14ac:dyDescent="0.25">
      <c r="A13" s="349"/>
      <c r="B13" s="253" t="s">
        <v>275</v>
      </c>
      <c r="C13" s="254">
        <v>1</v>
      </c>
      <c r="D13" s="285">
        <v>2</v>
      </c>
      <c r="E13" s="254">
        <v>1</v>
      </c>
      <c r="F13" s="254">
        <v>1</v>
      </c>
    </row>
    <row r="14" spans="1:12" x14ac:dyDescent="0.25">
      <c r="A14" s="349"/>
      <c r="B14" s="253" t="s">
        <v>276</v>
      </c>
      <c r="C14" s="254">
        <v>4</v>
      </c>
      <c r="D14" s="285">
        <v>4</v>
      </c>
      <c r="E14" s="254">
        <v>4</v>
      </c>
      <c r="F14" s="254">
        <v>4</v>
      </c>
    </row>
    <row r="15" spans="1:12" ht="26.4" x14ac:dyDescent="0.25">
      <c r="A15" s="349"/>
      <c r="B15" s="255" t="s">
        <v>277</v>
      </c>
      <c r="C15" s="254">
        <v>1</v>
      </c>
      <c r="D15" s="285"/>
      <c r="E15" s="254"/>
      <c r="F15" s="254"/>
    </row>
    <row r="16" spans="1:12" x14ac:dyDescent="0.25">
      <c r="A16" s="349"/>
      <c r="B16" s="253" t="s">
        <v>278</v>
      </c>
      <c r="C16" s="254">
        <v>10</v>
      </c>
      <c r="D16" s="285">
        <v>12</v>
      </c>
      <c r="E16" s="254">
        <v>13</v>
      </c>
      <c r="F16" s="254">
        <v>14</v>
      </c>
    </row>
    <row r="17" spans="1:6" x14ac:dyDescent="0.25">
      <c r="A17" s="349"/>
      <c r="B17" s="253" t="s">
        <v>279</v>
      </c>
      <c r="C17" s="256">
        <v>7</v>
      </c>
      <c r="D17" s="286"/>
      <c r="E17" s="256"/>
      <c r="F17" s="256"/>
    </row>
    <row r="18" spans="1:6" x14ac:dyDescent="0.25">
      <c r="A18" s="349"/>
      <c r="B18" s="253" t="s">
        <v>280</v>
      </c>
      <c r="C18" s="256">
        <v>2</v>
      </c>
      <c r="D18" s="286">
        <v>2</v>
      </c>
      <c r="E18" s="256">
        <v>2</v>
      </c>
      <c r="F18" s="256">
        <v>2</v>
      </c>
    </row>
    <row r="19" spans="1:6" x14ac:dyDescent="0.25">
      <c r="A19" s="349"/>
      <c r="B19" s="253" t="s">
        <v>281</v>
      </c>
      <c r="C19" s="256"/>
      <c r="D19" s="286"/>
      <c r="E19" s="256"/>
      <c r="F19" s="256"/>
    </row>
    <row r="20" spans="1:6" x14ac:dyDescent="0.25">
      <c r="A20" s="349"/>
      <c r="B20" s="253" t="s">
        <v>282</v>
      </c>
      <c r="C20" s="254">
        <v>2</v>
      </c>
      <c r="D20" s="285"/>
      <c r="E20" s="254"/>
      <c r="F20" s="254"/>
    </row>
    <row r="21" spans="1:6" x14ac:dyDescent="0.25">
      <c r="A21" s="349"/>
      <c r="B21" s="253" t="s">
        <v>283</v>
      </c>
      <c r="C21" s="254">
        <v>2</v>
      </c>
      <c r="D21" s="285"/>
      <c r="E21" s="254"/>
      <c r="F21" s="254"/>
    </row>
    <row r="22" spans="1:6" x14ac:dyDescent="0.25">
      <c r="A22" s="349"/>
      <c r="B22" s="253" t="s">
        <v>284</v>
      </c>
      <c r="C22" s="254"/>
      <c r="D22" s="285"/>
      <c r="E22" s="254"/>
      <c r="F22" s="254"/>
    </row>
    <row r="23" spans="1:6" x14ac:dyDescent="0.25">
      <c r="A23" s="349"/>
      <c r="B23" s="253" t="s">
        <v>285</v>
      </c>
      <c r="C23" s="256"/>
      <c r="D23" s="286"/>
      <c r="E23" s="256"/>
      <c r="F23" s="256"/>
    </row>
    <row r="24" spans="1:6" x14ac:dyDescent="0.25">
      <c r="A24" s="257"/>
      <c r="B24" s="253" t="s">
        <v>286</v>
      </c>
      <c r="C24" s="256"/>
      <c r="D24" s="286"/>
      <c r="E24" s="256"/>
      <c r="F24" s="256"/>
    </row>
    <row r="25" spans="1:6" ht="13.8" thickBot="1" x14ac:dyDescent="0.3">
      <c r="A25" s="258" t="s">
        <v>287</v>
      </c>
      <c r="B25" s="259"/>
      <c r="C25" s="289">
        <f>SUM(C6:C23)</f>
        <v>92</v>
      </c>
      <c r="D25" s="287">
        <f>SUM(D6:D24)</f>
        <v>91</v>
      </c>
      <c r="E25" s="290">
        <f>SUM(E6:E24)</f>
        <v>89</v>
      </c>
      <c r="F25" s="290">
        <f>SUM(F6:F24)</f>
        <v>89</v>
      </c>
    </row>
    <row r="26" spans="1:6" ht="13.8" thickBot="1" x14ac:dyDescent="0.3">
      <c r="A26" s="260" t="s">
        <v>288</v>
      </c>
      <c r="B26" s="261"/>
      <c r="C26" s="262">
        <f>SUM(C25:C25)</f>
        <v>92</v>
      </c>
      <c r="D26" s="288">
        <f>SUM(D25:D25)</f>
        <v>91</v>
      </c>
      <c r="E26" s="262">
        <f>SUM(E25:E25)</f>
        <v>89</v>
      </c>
      <c r="F26" s="262">
        <f>SUM(F25:F25)</f>
        <v>89</v>
      </c>
    </row>
  </sheetData>
  <mergeCells count="3">
    <mergeCell ref="A1:E2"/>
    <mergeCell ref="A4:A5"/>
    <mergeCell ref="A6:A2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"/>
  <sheetViews>
    <sheetView workbookViewId="0">
      <selection activeCell="A10" sqref="A10:XFD12"/>
    </sheetView>
  </sheetViews>
  <sheetFormatPr defaultColWidth="9.109375" defaultRowHeight="13.2" x14ac:dyDescent="0.25"/>
  <cols>
    <col min="1" max="1" width="46.33203125" style="17" bestFit="1" customWidth="1"/>
    <col min="2" max="2" width="22.44140625" style="17" bestFit="1" customWidth="1"/>
    <col min="3" max="3" width="10.44140625" style="17" bestFit="1" customWidth="1"/>
    <col min="4" max="4" width="9.109375" style="17"/>
    <col min="5" max="5" width="13.33203125" style="17" bestFit="1" customWidth="1"/>
    <col min="6" max="16384" width="9.109375" style="17"/>
  </cols>
  <sheetData>
    <row r="1" spans="1:5" x14ac:dyDescent="0.25">
      <c r="A1" s="339" t="s">
        <v>113</v>
      </c>
      <c r="B1" s="339"/>
      <c r="C1" s="339"/>
      <c r="D1" s="339"/>
    </row>
    <row r="2" spans="1:5" x14ac:dyDescent="0.25">
      <c r="A2" s="339"/>
      <c r="B2" s="339"/>
      <c r="C2" s="339"/>
      <c r="D2" s="339"/>
    </row>
    <row r="3" spans="1:5" x14ac:dyDescent="0.25">
      <c r="A3" s="4"/>
      <c r="B3" s="4"/>
      <c r="C3" s="4"/>
      <c r="D3" s="90"/>
    </row>
    <row r="4" spans="1:5" x14ac:dyDescent="0.25">
      <c r="A4" s="4"/>
      <c r="B4" s="4"/>
      <c r="C4" s="4"/>
      <c r="D4" s="90"/>
    </row>
    <row r="5" spans="1:5" x14ac:dyDescent="0.25">
      <c r="A5" s="4"/>
      <c r="B5" s="4"/>
      <c r="C5" s="4"/>
      <c r="D5" s="90"/>
    </row>
    <row r="6" spans="1:5" ht="26.4" x14ac:dyDescent="0.25">
      <c r="A6" s="91" t="s">
        <v>114</v>
      </c>
      <c r="B6" s="91" t="s">
        <v>115</v>
      </c>
      <c r="C6" s="91" t="s">
        <v>116</v>
      </c>
      <c r="D6" s="91" t="s">
        <v>117</v>
      </c>
    </row>
    <row r="7" spans="1:5" x14ac:dyDescent="0.25">
      <c r="A7" s="92" t="s">
        <v>119</v>
      </c>
      <c r="B7" s="93">
        <f>C7+D7</f>
        <v>14383455</v>
      </c>
      <c r="C7" s="93">
        <v>10374241</v>
      </c>
      <c r="D7" s="93">
        <v>4009214</v>
      </c>
      <c r="E7" s="94"/>
    </row>
    <row r="8" spans="1:5" x14ac:dyDescent="0.25">
      <c r="A8" s="92" t="s">
        <v>120</v>
      </c>
      <c r="B8" s="93">
        <f>C8+D8</f>
        <v>7116545</v>
      </c>
      <c r="C8" s="93">
        <v>7116545</v>
      </c>
      <c r="D8" s="93">
        <v>0</v>
      </c>
      <c r="E8" s="94"/>
    </row>
    <row r="9" spans="1:5" x14ac:dyDescent="0.25">
      <c r="B9" s="95"/>
      <c r="E9" s="94"/>
    </row>
    <row r="10" spans="1:5" x14ac:dyDescent="0.25">
      <c r="B10" s="95"/>
    </row>
  </sheetData>
  <mergeCells count="1">
    <mergeCell ref="A1:D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L25" sqref="L25"/>
    </sheetView>
  </sheetViews>
  <sheetFormatPr defaultRowHeight="13.2" x14ac:dyDescent="0.25"/>
  <cols>
    <col min="1" max="1" width="19" bestFit="1" customWidth="1"/>
    <col min="2" max="6" width="12.6640625" customWidth="1"/>
  </cols>
  <sheetData>
    <row r="1" spans="1:6" s="4" customFormat="1" x14ac:dyDescent="0.25">
      <c r="A1" s="292" t="s">
        <v>263</v>
      </c>
      <c r="B1" s="292"/>
      <c r="C1" s="292"/>
      <c r="D1" s="292"/>
      <c r="E1" s="292"/>
      <c r="F1" s="292"/>
    </row>
    <row r="2" spans="1:6" s="4" customFormat="1" x14ac:dyDescent="0.25"/>
    <row r="3" spans="1:6" x14ac:dyDescent="0.25">
      <c r="A3" s="205" t="s">
        <v>235</v>
      </c>
      <c r="B3" s="206" t="s">
        <v>236</v>
      </c>
      <c r="C3" s="206" t="s">
        <v>148</v>
      </c>
      <c r="D3" s="206" t="s">
        <v>149</v>
      </c>
      <c r="E3" s="206" t="s">
        <v>150</v>
      </c>
      <c r="F3" s="206" t="s">
        <v>237</v>
      </c>
    </row>
    <row r="4" spans="1:6" x14ac:dyDescent="0.25">
      <c r="A4" s="207" t="s">
        <v>238</v>
      </c>
      <c r="B4" s="208">
        <v>9715511</v>
      </c>
      <c r="C4" s="208">
        <v>0</v>
      </c>
      <c r="D4" s="208">
        <v>9715511</v>
      </c>
      <c r="E4" s="208">
        <v>0</v>
      </c>
      <c r="F4" s="208">
        <f t="shared" ref="F4:F21" si="0">+D4-E4</f>
        <v>9715511</v>
      </c>
    </row>
    <row r="5" spans="1:6" x14ac:dyDescent="0.25">
      <c r="A5" s="207" t="s">
        <v>239</v>
      </c>
      <c r="B5" s="208">
        <v>5602885</v>
      </c>
      <c r="C5" s="208">
        <v>3491558</v>
      </c>
      <c r="D5" s="208">
        <v>2111327</v>
      </c>
      <c r="E5" s="208">
        <v>583207</v>
      </c>
      <c r="F5" s="208">
        <f t="shared" si="0"/>
        <v>1528120</v>
      </c>
    </row>
    <row r="6" spans="1:6" x14ac:dyDescent="0.25">
      <c r="A6" s="207" t="s">
        <v>168</v>
      </c>
      <c r="B6" s="208">
        <v>6115</v>
      </c>
      <c r="C6" s="208">
        <v>1300</v>
      </c>
      <c r="D6" s="208">
        <v>4815</v>
      </c>
      <c r="E6" s="208">
        <v>0</v>
      </c>
      <c r="F6" s="208">
        <f t="shared" si="0"/>
        <v>4815</v>
      </c>
    </row>
    <row r="7" spans="1:6" x14ac:dyDescent="0.25">
      <c r="A7" s="207" t="s">
        <v>240</v>
      </c>
      <c r="B7" s="208">
        <v>46054112</v>
      </c>
      <c r="C7" s="208">
        <v>44385150</v>
      </c>
      <c r="D7" s="208">
        <v>1668962</v>
      </c>
      <c r="E7" s="208">
        <v>755404</v>
      </c>
      <c r="F7" s="208">
        <f t="shared" si="0"/>
        <v>913558</v>
      </c>
    </row>
    <row r="8" spans="1:6" x14ac:dyDescent="0.25">
      <c r="A8" s="207" t="s">
        <v>241</v>
      </c>
      <c r="B8" s="208">
        <v>47777016</v>
      </c>
      <c r="C8" s="208">
        <v>28281179</v>
      </c>
      <c r="D8" s="208">
        <f>19495837+720001</f>
        <v>20215838</v>
      </c>
      <c r="E8" s="208">
        <v>2996375</v>
      </c>
      <c r="F8" s="208">
        <f t="shared" si="0"/>
        <v>17219463</v>
      </c>
    </row>
    <row r="9" spans="1:6" x14ac:dyDescent="0.25">
      <c r="A9" s="207" t="s">
        <v>242</v>
      </c>
      <c r="B9" s="208">
        <v>27985814</v>
      </c>
      <c r="C9" s="208">
        <v>22784906</v>
      </c>
      <c r="D9" s="208">
        <v>5200908</v>
      </c>
      <c r="E9" s="208">
        <v>500250</v>
      </c>
      <c r="F9" s="208">
        <f t="shared" si="0"/>
        <v>4700658</v>
      </c>
    </row>
    <row r="10" spans="1:6" x14ac:dyDescent="0.25">
      <c r="A10" s="207" t="s">
        <v>243</v>
      </c>
      <c r="B10" s="208">
        <v>52341407</v>
      </c>
      <c r="C10" s="208">
        <v>44281441</v>
      </c>
      <c r="D10" s="208">
        <v>8059966</v>
      </c>
      <c r="E10" s="208">
        <v>1288420</v>
      </c>
      <c r="F10" s="208">
        <f t="shared" si="0"/>
        <v>6771546</v>
      </c>
    </row>
    <row r="11" spans="1:6" x14ac:dyDescent="0.25">
      <c r="A11" s="207" t="s">
        <v>244</v>
      </c>
      <c r="B11" s="208">
        <v>16318366</v>
      </c>
      <c r="C11" s="208">
        <v>16267440</v>
      </c>
      <c r="D11" s="208">
        <v>50926</v>
      </c>
      <c r="E11" s="208">
        <v>0</v>
      </c>
      <c r="F11" s="208">
        <f t="shared" si="0"/>
        <v>50926</v>
      </c>
    </row>
    <row r="12" spans="1:6" x14ac:dyDescent="0.25">
      <c r="A12" s="207" t="s">
        <v>245</v>
      </c>
      <c r="B12" s="208">
        <v>23000497</v>
      </c>
      <c r="C12" s="208">
        <v>18044790</v>
      </c>
      <c r="D12" s="208">
        <v>4955707</v>
      </c>
      <c r="E12" s="208">
        <v>386120</v>
      </c>
      <c r="F12" s="208">
        <f t="shared" si="0"/>
        <v>4569587</v>
      </c>
    </row>
    <row r="13" spans="1:6" x14ac:dyDescent="0.25">
      <c r="A13" s="207" t="s">
        <v>246</v>
      </c>
      <c r="B13" s="208">
        <v>48157269</v>
      </c>
      <c r="C13" s="208">
        <v>34120783</v>
      </c>
      <c r="D13" s="208">
        <v>14036486</v>
      </c>
      <c r="E13" s="208">
        <v>6192476</v>
      </c>
      <c r="F13" s="208">
        <f t="shared" si="0"/>
        <v>7844010</v>
      </c>
    </row>
    <row r="14" spans="1:6" x14ac:dyDescent="0.25">
      <c r="A14" s="207" t="s">
        <v>247</v>
      </c>
      <c r="B14" s="208">
        <v>38438765</v>
      </c>
      <c r="C14" s="208">
        <v>37256673</v>
      </c>
      <c r="D14" s="208">
        <v>1182092</v>
      </c>
      <c r="E14" s="208">
        <v>1144629</v>
      </c>
      <c r="F14" s="208">
        <f t="shared" si="0"/>
        <v>37463</v>
      </c>
    </row>
    <row r="15" spans="1:6" x14ac:dyDescent="0.25">
      <c r="A15" s="207" t="s">
        <v>248</v>
      </c>
      <c r="B15" s="208">
        <v>5179072</v>
      </c>
      <c r="C15" s="208">
        <v>5066072</v>
      </c>
      <c r="D15" s="208">
        <v>113000</v>
      </c>
      <c r="E15" s="208">
        <v>113000</v>
      </c>
      <c r="F15" s="208">
        <f t="shared" si="0"/>
        <v>0</v>
      </c>
    </row>
    <row r="16" spans="1:6" s="1" customFormat="1" x14ac:dyDescent="0.25">
      <c r="A16" s="181" t="s">
        <v>249</v>
      </c>
      <c r="B16" s="244">
        <v>40796727</v>
      </c>
      <c r="C16" s="244">
        <v>0</v>
      </c>
      <c r="D16" s="244">
        <v>40796727</v>
      </c>
      <c r="E16" s="244">
        <v>0</v>
      </c>
      <c r="F16" s="244">
        <f t="shared" si="0"/>
        <v>40796727</v>
      </c>
    </row>
    <row r="17" spans="1:6" x14ac:dyDescent="0.25">
      <c r="A17" s="207" t="s">
        <v>168</v>
      </c>
      <c r="B17" s="208">
        <v>119749865</v>
      </c>
      <c r="C17" s="208">
        <v>128924395</v>
      </c>
      <c r="D17" s="208">
        <f>+-9174530+2755060</f>
        <v>-6419470</v>
      </c>
      <c r="E17" s="208">
        <v>525837</v>
      </c>
      <c r="F17" s="208">
        <f t="shared" si="0"/>
        <v>-6945307</v>
      </c>
    </row>
    <row r="18" spans="1:6" x14ac:dyDescent="0.25">
      <c r="A18" s="207" t="s">
        <v>168</v>
      </c>
      <c r="B18" s="208">
        <v>23197272</v>
      </c>
      <c r="C18" s="208">
        <v>20550761</v>
      </c>
      <c r="D18" s="208">
        <v>2646511</v>
      </c>
      <c r="E18" s="208">
        <v>59684</v>
      </c>
      <c r="F18" s="208">
        <f t="shared" si="0"/>
        <v>2586827</v>
      </c>
    </row>
    <row r="19" spans="1:6" x14ac:dyDescent="0.25">
      <c r="A19" s="207" t="s">
        <v>168</v>
      </c>
      <c r="B19" s="208">
        <f>21231995+1</f>
        <v>21231996</v>
      </c>
      <c r="C19" s="208">
        <v>25409109</v>
      </c>
      <c r="D19" s="208">
        <v>-4177114</v>
      </c>
      <c r="E19" s="208">
        <v>279365</v>
      </c>
      <c r="F19" s="208">
        <f t="shared" si="0"/>
        <v>-4456479</v>
      </c>
    </row>
    <row r="20" spans="1:6" x14ac:dyDescent="0.25">
      <c r="A20" s="207" t="s">
        <v>168</v>
      </c>
      <c r="B20" s="208">
        <v>5841998</v>
      </c>
      <c r="C20" s="208">
        <v>4309108</v>
      </c>
      <c r="D20" s="208">
        <v>1532890</v>
      </c>
      <c r="E20" s="208">
        <v>10533</v>
      </c>
      <c r="F20" s="208">
        <f t="shared" si="0"/>
        <v>1522357</v>
      </c>
    </row>
    <row r="21" spans="1:6" x14ac:dyDescent="0.25">
      <c r="A21" s="207" t="s">
        <v>168</v>
      </c>
      <c r="B21" s="208">
        <v>65922465</v>
      </c>
      <c r="C21" s="208">
        <v>65831860</v>
      </c>
      <c r="D21" s="208">
        <f>90605+1</f>
        <v>90606</v>
      </c>
      <c r="E21" s="208">
        <v>0</v>
      </c>
      <c r="F21" s="208">
        <f t="shared" si="0"/>
        <v>90606</v>
      </c>
    </row>
    <row r="22" spans="1:6" x14ac:dyDescent="0.25">
      <c r="A22" s="124" t="s">
        <v>49</v>
      </c>
      <c r="B22" s="209">
        <f>SUM(B4:B21)</f>
        <v>597317152</v>
      </c>
      <c r="C22" s="209">
        <f>SUM(C4:C21)</f>
        <v>499006525</v>
      </c>
      <c r="D22" s="209">
        <f>SUM(D4:D21)</f>
        <v>101785688</v>
      </c>
      <c r="E22" s="209">
        <f>SUM(E4:E21)</f>
        <v>14835300</v>
      </c>
      <c r="F22" s="209">
        <f>SUM(F4:F21)</f>
        <v>86950388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36"/>
  <sheetViews>
    <sheetView topLeftCell="H1" workbookViewId="0">
      <selection activeCell="M22" sqref="M22"/>
    </sheetView>
  </sheetViews>
  <sheetFormatPr defaultRowHeight="13.2" x14ac:dyDescent="0.25"/>
  <cols>
    <col min="1" max="1" width="15.5546875" hidden="1" customWidth="1"/>
    <col min="2" max="2" width="34.88671875" style="4" hidden="1" customWidth="1"/>
    <col min="3" max="3" width="11.6640625" style="3" hidden="1" customWidth="1"/>
    <col min="4" max="4" width="11.6640625" hidden="1" customWidth="1"/>
    <col min="5" max="5" width="9.6640625" hidden="1" customWidth="1"/>
    <col min="6" max="6" width="19.109375" hidden="1" customWidth="1"/>
    <col min="7" max="7" width="11.6640625" style="5" hidden="1" customWidth="1"/>
    <col min="8" max="8" width="3.33203125" customWidth="1"/>
    <col min="9" max="9" width="51.33203125" style="4" bestFit="1" customWidth="1"/>
    <col min="10" max="11" width="11.109375" style="21" bestFit="1" customWidth="1"/>
    <col min="12" max="12" width="10.6640625" style="76" customWidth="1"/>
    <col min="13" max="13" width="15.33203125" style="3" bestFit="1" customWidth="1"/>
    <col min="14" max="14" width="10.109375" bestFit="1" customWidth="1"/>
  </cols>
  <sheetData>
    <row r="1" spans="1:25" s="4" customFormat="1" x14ac:dyDescent="0.25">
      <c r="C1" s="3"/>
      <c r="G1" s="5"/>
      <c r="H1" s="292" t="s">
        <v>262</v>
      </c>
      <c r="I1" s="292"/>
      <c r="J1" s="292"/>
      <c r="K1" s="292"/>
      <c r="L1" s="76"/>
      <c r="M1" s="3"/>
    </row>
    <row r="2" spans="1:25" s="4" customFormat="1" ht="13.8" thickBot="1" x14ac:dyDescent="0.3">
      <c r="A2" s="6"/>
      <c r="B2" s="6"/>
      <c r="C2" s="6"/>
      <c r="D2" s="6"/>
      <c r="G2" s="5"/>
      <c r="J2" s="21"/>
      <c r="K2" s="21"/>
      <c r="L2" s="76"/>
      <c r="M2" s="3"/>
      <c r="N2" s="3"/>
    </row>
    <row r="3" spans="1:25" s="2" customFormat="1" ht="13.8" thickBot="1" x14ac:dyDescent="0.3">
      <c r="A3" s="307" t="s">
        <v>10</v>
      </c>
      <c r="B3" s="308"/>
      <c r="C3" s="311" t="s">
        <v>12</v>
      </c>
      <c r="D3" s="311" t="s">
        <v>18</v>
      </c>
      <c r="H3" s="295" t="s">
        <v>19</v>
      </c>
      <c r="I3" s="300"/>
      <c r="J3" s="167" t="s">
        <v>27</v>
      </c>
      <c r="K3" s="167" t="s">
        <v>189</v>
      </c>
      <c r="L3" s="5"/>
    </row>
    <row r="4" spans="1:25" x14ac:dyDescent="0.25">
      <c r="A4" s="309"/>
      <c r="B4" s="310"/>
      <c r="C4" s="312"/>
      <c r="D4" s="312"/>
      <c r="E4" s="3"/>
      <c r="G4"/>
      <c r="H4" s="278" t="s">
        <v>20</v>
      </c>
      <c r="I4" s="276" t="s">
        <v>187</v>
      </c>
      <c r="J4" s="273">
        <f>629895906+56216295</f>
        <v>686112201</v>
      </c>
      <c r="K4" s="273">
        <v>668343493</v>
      </c>
      <c r="L4" s="3"/>
      <c r="M4"/>
    </row>
    <row r="5" spans="1:25" ht="13.95" customHeight="1" thickBot="1" x14ac:dyDescent="0.3">
      <c r="A5" s="303" t="s">
        <v>13</v>
      </c>
      <c r="B5" s="304"/>
      <c r="C5" s="7" t="e">
        <f>+#REF!+#REF!+#REF!</f>
        <v>#REF!</v>
      </c>
      <c r="D5" s="7" t="e">
        <f>+#REF!+#REF!-1</f>
        <v>#REF!</v>
      </c>
      <c r="E5" s="3"/>
      <c r="G5"/>
      <c r="H5" s="223" t="s">
        <v>21</v>
      </c>
      <c r="I5" s="277" t="s">
        <v>188</v>
      </c>
      <c r="J5" s="274">
        <v>75586481</v>
      </c>
      <c r="K5" s="274">
        <v>97380457</v>
      </c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</row>
    <row r="6" spans="1:25" s="4" customFormat="1" ht="13.8" thickBot="1" x14ac:dyDescent="0.3">
      <c r="A6" s="19"/>
      <c r="B6" s="20"/>
      <c r="C6" s="7"/>
      <c r="D6" s="7"/>
      <c r="E6" s="3"/>
      <c r="H6" s="297" t="s">
        <v>23</v>
      </c>
      <c r="I6" s="313"/>
      <c r="J6" s="175">
        <f>SUM(J4:J5)</f>
        <v>761698682</v>
      </c>
      <c r="K6" s="175">
        <f>SUM(K4:K5)</f>
        <v>765723950</v>
      </c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</row>
    <row r="7" spans="1:25" x14ac:dyDescent="0.25">
      <c r="A7" s="305" t="s">
        <v>2</v>
      </c>
      <c r="B7" s="306"/>
      <c r="C7" s="7">
        <v>75586481</v>
      </c>
      <c r="D7" s="7" t="e">
        <f>+#REF!</f>
        <v>#REF!</v>
      </c>
      <c r="E7" s="3"/>
      <c r="G7"/>
      <c r="H7" s="280" t="s">
        <v>20</v>
      </c>
      <c r="I7" s="276" t="s">
        <v>24</v>
      </c>
      <c r="J7" s="273">
        <v>602601583</v>
      </c>
      <c r="K7" s="273">
        <f>564198733+21918394</f>
        <v>586117127</v>
      </c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</row>
    <row r="8" spans="1:25" s="2" customFormat="1" x14ac:dyDescent="0.25">
      <c r="A8" s="301" t="s">
        <v>3</v>
      </c>
      <c r="B8" s="302"/>
      <c r="C8" s="15" t="e">
        <f>SUM(C5:C7)</f>
        <v>#REF!</v>
      </c>
      <c r="D8" s="15" t="e">
        <f>SUM(D5:D7)</f>
        <v>#REF!</v>
      </c>
      <c r="H8" s="222" t="s">
        <v>21</v>
      </c>
      <c r="I8" s="279" t="s">
        <v>25</v>
      </c>
      <c r="J8" s="275">
        <v>116492759</v>
      </c>
      <c r="K8" s="275">
        <f>100605487+249268-448921-3111219</f>
        <v>97294615</v>
      </c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</row>
    <row r="9" spans="1:25" x14ac:dyDescent="0.25">
      <c r="A9" s="16" t="s">
        <v>9</v>
      </c>
      <c r="B9" s="8" t="s">
        <v>11</v>
      </c>
      <c r="C9" s="7">
        <v>602601583</v>
      </c>
      <c r="D9" s="7" t="e">
        <f>+#REF!+#REF!</f>
        <v>#REF!</v>
      </c>
      <c r="E9" s="3"/>
      <c r="G9" s="3"/>
      <c r="H9" s="222" t="s">
        <v>26</v>
      </c>
      <c r="I9" s="279" t="s">
        <v>4</v>
      </c>
      <c r="J9" s="275">
        <v>10200256</v>
      </c>
      <c r="K9" s="275">
        <v>8465203</v>
      </c>
      <c r="L9" s="3"/>
      <c r="M9"/>
    </row>
    <row r="10" spans="1:25" x14ac:dyDescent="0.25">
      <c r="A10" s="10" t="s">
        <v>4</v>
      </c>
      <c r="B10" s="9"/>
      <c r="C10" s="7">
        <v>10200256</v>
      </c>
      <c r="D10" s="7"/>
      <c r="E10" s="3"/>
      <c r="G10"/>
      <c r="H10" s="222" t="s">
        <v>29</v>
      </c>
      <c r="I10" s="279" t="s">
        <v>28</v>
      </c>
      <c r="J10" s="275">
        <v>14607068</v>
      </c>
      <c r="K10" s="275">
        <f>8316348+11233411</f>
        <v>19549759</v>
      </c>
      <c r="L10" s="3"/>
    </row>
    <row r="11" spans="1:25" x14ac:dyDescent="0.25">
      <c r="A11" s="303" t="s">
        <v>5</v>
      </c>
      <c r="B11" s="304"/>
      <c r="C11" s="7">
        <f>116492759+14607068+17687136</f>
        <v>148786963</v>
      </c>
      <c r="D11" s="7" t="e">
        <f>+#REF!+#REF!+#REF!+#REF!+#REF!</f>
        <v>#REF!</v>
      </c>
      <c r="E11" s="3"/>
      <c r="G11"/>
      <c r="H11" s="222" t="s">
        <v>30</v>
      </c>
      <c r="I11" s="279" t="s">
        <v>8</v>
      </c>
      <c r="J11" s="275">
        <v>109881</v>
      </c>
      <c r="K11" s="275">
        <v>0</v>
      </c>
      <c r="L11" s="3"/>
      <c r="M11"/>
    </row>
    <row r="12" spans="1:25" ht="13.8" thickBot="1" x14ac:dyDescent="0.3">
      <c r="A12" s="11" t="s">
        <v>8</v>
      </c>
      <c r="B12" s="9"/>
      <c r="C12" s="7">
        <v>109881</v>
      </c>
      <c r="D12" s="7"/>
      <c r="E12" s="3"/>
      <c r="G12"/>
      <c r="H12" s="223" t="s">
        <v>33</v>
      </c>
      <c r="I12" s="277" t="s">
        <v>31</v>
      </c>
      <c r="J12" s="274">
        <v>17687135</v>
      </c>
      <c r="K12" s="274">
        <v>0</v>
      </c>
      <c r="L12" s="3"/>
      <c r="M12"/>
    </row>
    <row r="13" spans="1:25" s="4" customFormat="1" ht="13.8" thickBot="1" x14ac:dyDescent="0.3">
      <c r="A13" s="19"/>
      <c r="B13" s="20"/>
      <c r="C13" s="7"/>
      <c r="D13" s="7"/>
      <c r="E13" s="3"/>
      <c r="H13" s="293" t="s">
        <v>32</v>
      </c>
      <c r="I13" s="299"/>
      <c r="J13" s="175">
        <f>SUM(J7:J12)</f>
        <v>761698682</v>
      </c>
      <c r="K13" s="175">
        <f>SUM(K7:K12)</f>
        <v>711426704</v>
      </c>
      <c r="L13" s="3"/>
    </row>
    <row r="14" spans="1:25" s="2" customFormat="1" ht="13.8" thickBot="1" x14ac:dyDescent="0.3">
      <c r="A14" s="301" t="s">
        <v>6</v>
      </c>
      <c r="B14" s="302"/>
      <c r="C14" s="15">
        <f>SUM(C9:C12)</f>
        <v>761698683</v>
      </c>
      <c r="D14" s="15" t="e">
        <f>SUM(D9:D12)-1</f>
        <v>#REF!</v>
      </c>
      <c r="E14" s="5"/>
      <c r="H14" s="293" t="s">
        <v>190</v>
      </c>
      <c r="I14" s="299"/>
      <c r="J14" s="175"/>
      <c r="K14" s="175">
        <f>+K6-K13</f>
        <v>54297246</v>
      </c>
      <c r="L14" s="5"/>
      <c r="M14" s="5"/>
    </row>
    <row r="15" spans="1:25" ht="13.8" thickBot="1" x14ac:dyDescent="0.3">
      <c r="A15" s="12" t="s">
        <v>7</v>
      </c>
      <c r="B15" s="13"/>
      <c r="C15" s="14" t="e">
        <f>+C8-C14</f>
        <v>#REF!</v>
      </c>
      <c r="D15" s="14"/>
      <c r="E15" s="3"/>
      <c r="G15"/>
      <c r="H15" s="135"/>
      <c r="I15" s="135"/>
      <c r="J15" s="165" t="s">
        <v>22</v>
      </c>
      <c r="K15" s="165"/>
      <c r="L15" s="3"/>
      <c r="M15"/>
    </row>
    <row r="16" spans="1:25" s="4" customFormat="1" x14ac:dyDescent="0.25">
      <c r="A16" s="245"/>
      <c r="B16" s="245"/>
      <c r="C16" s="246"/>
      <c r="D16" s="246"/>
      <c r="E16" s="3"/>
      <c r="H16" s="135"/>
      <c r="I16" s="135"/>
      <c r="J16" s="165"/>
      <c r="K16" s="165"/>
      <c r="L16" s="3"/>
    </row>
    <row r="17" spans="1:13" s="4" customFormat="1" x14ac:dyDescent="0.25">
      <c r="A17" s="2"/>
      <c r="B17" s="2"/>
      <c r="C17" s="5"/>
      <c r="D17" s="5"/>
      <c r="H17" s="26"/>
      <c r="I17" s="135"/>
      <c r="J17" s="165"/>
      <c r="K17" s="165"/>
      <c r="L17" s="166"/>
      <c r="M17" s="3"/>
    </row>
    <row r="36" spans="13:13" x14ac:dyDescent="0.25">
      <c r="M36" s="281" t="s">
        <v>22</v>
      </c>
    </row>
  </sheetData>
  <mergeCells count="13">
    <mergeCell ref="H14:I14"/>
    <mergeCell ref="H3:I3"/>
    <mergeCell ref="H1:K1"/>
    <mergeCell ref="A14:B14"/>
    <mergeCell ref="A5:B5"/>
    <mergeCell ref="A7:B7"/>
    <mergeCell ref="A8:B8"/>
    <mergeCell ref="A11:B11"/>
    <mergeCell ref="A3:B4"/>
    <mergeCell ref="C3:C4"/>
    <mergeCell ref="D3:D4"/>
    <mergeCell ref="H6:I6"/>
    <mergeCell ref="H13:I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9"/>
  <sheetViews>
    <sheetView topLeftCell="A5" workbookViewId="0">
      <selection activeCell="G32" sqref="G32"/>
    </sheetView>
  </sheetViews>
  <sheetFormatPr defaultRowHeight="13.2" x14ac:dyDescent="0.25"/>
  <cols>
    <col min="1" max="1" width="3.33203125" style="26" customWidth="1"/>
    <col min="2" max="2" width="54.5546875" customWidth="1"/>
    <col min="3" max="3" width="10.6640625" style="4" customWidth="1"/>
    <col min="4" max="4" width="10.6640625" style="156" customWidth="1"/>
    <col min="5" max="5" width="10.6640625" style="21" customWidth="1"/>
    <col min="6" max="6" width="10.6640625" style="160" customWidth="1"/>
  </cols>
  <sheetData>
    <row r="1" spans="1:6" hidden="1" x14ac:dyDescent="0.25"/>
    <row r="2" spans="1:6" s="4" customFormat="1" hidden="1" x14ac:dyDescent="0.25">
      <c r="A2" s="26"/>
      <c r="D2" s="156"/>
      <c r="E2" s="21"/>
      <c r="F2" s="160"/>
    </row>
    <row r="3" spans="1:6" s="4" customFormat="1" hidden="1" x14ac:dyDescent="0.25">
      <c r="A3" s="26"/>
      <c r="D3" s="156"/>
      <c r="E3" s="21"/>
      <c r="F3" s="160"/>
    </row>
    <row r="4" spans="1:6" s="4" customFormat="1" hidden="1" x14ac:dyDescent="0.25">
      <c r="A4" s="26"/>
      <c r="D4" s="156"/>
      <c r="E4" s="21"/>
      <c r="F4" s="160"/>
    </row>
    <row r="5" spans="1:6" s="4" customFormat="1" x14ac:dyDescent="0.25">
      <c r="A5" s="318" t="s">
        <v>125</v>
      </c>
      <c r="B5" s="318"/>
      <c r="C5" s="318"/>
      <c r="D5" s="318"/>
      <c r="E5" s="318"/>
      <c r="F5" s="160"/>
    </row>
    <row r="6" spans="1:6" s="4" customFormat="1" x14ac:dyDescent="0.25">
      <c r="A6" s="318"/>
      <c r="B6" s="318"/>
      <c r="C6" s="318"/>
      <c r="D6" s="318"/>
      <c r="E6" s="318"/>
      <c r="F6" s="160"/>
    </row>
    <row r="7" spans="1:6" s="4" customFormat="1" x14ac:dyDescent="0.25">
      <c r="A7" s="26"/>
      <c r="D7" s="156"/>
      <c r="E7" s="21"/>
      <c r="F7" s="160"/>
    </row>
    <row r="8" spans="1:6" s="4" customFormat="1" ht="13.8" thickBot="1" x14ac:dyDescent="0.3">
      <c r="A8" s="26"/>
      <c r="D8" s="156"/>
      <c r="E8" s="22"/>
      <c r="F8" s="159" t="s">
        <v>40</v>
      </c>
    </row>
    <row r="9" spans="1:6" ht="13.8" thickBot="1" x14ac:dyDescent="0.3">
      <c r="A9" s="321" t="s">
        <v>39</v>
      </c>
      <c r="B9" s="322"/>
      <c r="C9" s="167">
        <v>2021</v>
      </c>
      <c r="D9" s="214">
        <v>2022</v>
      </c>
      <c r="E9" s="228">
        <v>2023</v>
      </c>
      <c r="F9" s="161" t="s">
        <v>34</v>
      </c>
    </row>
    <row r="10" spans="1:6" x14ac:dyDescent="0.25">
      <c r="A10" s="222" t="s">
        <v>1</v>
      </c>
      <c r="B10" s="239" t="s">
        <v>124</v>
      </c>
      <c r="C10" s="231">
        <v>50000000</v>
      </c>
      <c r="D10" s="237">
        <v>119305000</v>
      </c>
      <c r="E10" s="220">
        <v>119305000</v>
      </c>
      <c r="F10" s="158" t="s">
        <v>226</v>
      </c>
    </row>
    <row r="11" spans="1:6" x14ac:dyDescent="0.25">
      <c r="A11" s="222" t="s">
        <v>14</v>
      </c>
      <c r="B11" s="240" t="s">
        <v>35</v>
      </c>
      <c r="C11" s="232">
        <v>8344435.7976653697</v>
      </c>
      <c r="D11" s="232">
        <v>8344435.7976653697</v>
      </c>
      <c r="E11" s="220">
        <v>8344435.7976653697</v>
      </c>
      <c r="F11" s="158" t="s">
        <v>226</v>
      </c>
    </row>
    <row r="12" spans="1:6" x14ac:dyDescent="0.25">
      <c r="A12" s="222" t="s">
        <v>15</v>
      </c>
      <c r="B12" s="240" t="s">
        <v>36</v>
      </c>
      <c r="C12" s="232">
        <v>3410456.8725195429</v>
      </c>
      <c r="D12" s="232">
        <v>3410456.8725195429</v>
      </c>
      <c r="E12" s="220">
        <v>3410456.8725195429</v>
      </c>
      <c r="F12" s="158" t="s">
        <v>226</v>
      </c>
    </row>
    <row r="13" spans="1:6" s="4" customFormat="1" x14ac:dyDescent="0.25">
      <c r="A13" s="222" t="s">
        <v>16</v>
      </c>
      <c r="B13" s="240" t="s">
        <v>221</v>
      </c>
      <c r="C13" s="233">
        <f>5909490+4789175</f>
        <v>10698665</v>
      </c>
      <c r="D13" s="232">
        <v>10921812</v>
      </c>
      <c r="E13" s="319">
        <v>11582833</v>
      </c>
      <c r="F13" s="314">
        <f>+E13-D13+D14</f>
        <v>884167</v>
      </c>
    </row>
    <row r="14" spans="1:6" s="4" customFormat="1" ht="26.4" x14ac:dyDescent="0.25">
      <c r="A14" s="222" t="s">
        <v>17</v>
      </c>
      <c r="B14" s="240" t="s">
        <v>219</v>
      </c>
      <c r="C14" s="233">
        <v>0</v>
      </c>
      <c r="D14" s="232">
        <v>223146</v>
      </c>
      <c r="E14" s="320"/>
      <c r="F14" s="315"/>
    </row>
    <row r="15" spans="1:6" s="4" customFormat="1" ht="26.4" x14ac:dyDescent="0.25">
      <c r="A15" s="222" t="s">
        <v>222</v>
      </c>
      <c r="B15" s="240" t="s">
        <v>220</v>
      </c>
      <c r="C15" s="232">
        <v>79837000</v>
      </c>
      <c r="D15" s="232">
        <v>79837000</v>
      </c>
      <c r="E15" s="229">
        <f>+D15</f>
        <v>79837000</v>
      </c>
      <c r="F15" s="158" t="s">
        <v>226</v>
      </c>
    </row>
    <row r="16" spans="1:6" x14ac:dyDescent="0.25">
      <c r="A16" s="222" t="s">
        <v>223</v>
      </c>
      <c r="B16" s="241" t="s">
        <v>37</v>
      </c>
      <c r="C16" s="234"/>
      <c r="D16" s="232">
        <v>34531561</v>
      </c>
      <c r="E16" s="220">
        <v>20117060</v>
      </c>
      <c r="F16" s="162">
        <f>20117060-D16</f>
        <v>-14414501</v>
      </c>
    </row>
    <row r="17" spans="1:6" ht="13.8" thickBot="1" x14ac:dyDescent="0.3">
      <c r="A17" s="222" t="s">
        <v>224</v>
      </c>
      <c r="B17" s="242" t="s">
        <v>38</v>
      </c>
      <c r="C17" s="232">
        <v>21500000</v>
      </c>
      <c r="D17" s="232">
        <v>21500000</v>
      </c>
      <c r="E17" s="220">
        <v>21500000</v>
      </c>
      <c r="F17" s="157" t="s">
        <v>226</v>
      </c>
    </row>
    <row r="18" spans="1:6" s="4" customFormat="1" ht="13.8" hidden="1" thickBot="1" x14ac:dyDescent="0.3">
      <c r="A18" s="223" t="s">
        <v>225</v>
      </c>
      <c r="B18" s="242" t="s">
        <v>227</v>
      </c>
      <c r="C18" s="235"/>
      <c r="D18" s="238">
        <v>0</v>
      </c>
      <c r="E18" s="220">
        <v>10132456</v>
      </c>
      <c r="F18" s="162">
        <f>+E18</f>
        <v>10132456</v>
      </c>
    </row>
    <row r="19" spans="1:6" ht="13.8" thickBot="1" x14ac:dyDescent="0.3">
      <c r="A19" s="316" t="s">
        <v>0</v>
      </c>
      <c r="B19" s="317"/>
      <c r="C19" s="236">
        <f>SUM(C10:C18)</f>
        <v>173790557.67018491</v>
      </c>
      <c r="D19" s="236">
        <f>SUM(D10:D18)</f>
        <v>278073411.67018491</v>
      </c>
      <c r="E19" s="230">
        <f>SUM(E10:E18)</f>
        <v>274229241.67018491</v>
      </c>
      <c r="F19" s="163">
        <f>SUM(F10:F18)</f>
        <v>-3397878</v>
      </c>
    </row>
  </sheetData>
  <mergeCells count="5">
    <mergeCell ref="F13:F14"/>
    <mergeCell ref="A19:B19"/>
    <mergeCell ref="A5:E6"/>
    <mergeCell ref="E13:E14"/>
    <mergeCell ref="A9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0"/>
  <sheetViews>
    <sheetView workbookViewId="0">
      <selection activeCell="E26" activeCellId="1" sqref="C26 E26"/>
    </sheetView>
  </sheetViews>
  <sheetFormatPr defaultRowHeight="13.2" x14ac:dyDescent="0.25"/>
  <cols>
    <col min="1" max="1" width="31.5546875" bestFit="1" customWidth="1"/>
    <col min="2" max="6" width="11.6640625" customWidth="1"/>
  </cols>
  <sheetData>
    <row r="1" spans="1:6" x14ac:dyDescent="0.25">
      <c r="A1" s="323" t="s">
        <v>180</v>
      </c>
      <c r="B1" s="323"/>
      <c r="C1" s="323"/>
      <c r="D1" s="323"/>
      <c r="E1" s="323"/>
      <c r="F1" s="323"/>
    </row>
    <row r="2" spans="1:6" ht="14.4" x14ac:dyDescent="0.3">
      <c r="A2" s="17"/>
      <c r="B2" s="17"/>
      <c r="C2" s="17"/>
      <c r="D2" s="17"/>
      <c r="E2" s="17"/>
      <c r="F2" s="121"/>
    </row>
    <row r="3" spans="1:6" x14ac:dyDescent="0.25">
      <c r="A3" s="324" t="s">
        <v>181</v>
      </c>
      <c r="B3" s="324"/>
      <c r="C3" s="325" t="s">
        <v>173</v>
      </c>
      <c r="D3" s="326"/>
      <c r="E3" s="326"/>
      <c r="F3" s="327"/>
    </row>
    <row r="4" spans="1:6" ht="14.4" x14ac:dyDescent="0.3">
      <c r="A4" s="17"/>
      <c r="B4" s="17"/>
      <c r="C4" s="17"/>
      <c r="D4" s="17"/>
      <c r="E4" s="17"/>
      <c r="F4" s="121"/>
    </row>
    <row r="5" spans="1:6" ht="26.4" x14ac:dyDescent="0.25">
      <c r="A5" s="77" t="s">
        <v>147</v>
      </c>
      <c r="B5" s="133" t="s">
        <v>182</v>
      </c>
      <c r="C5" s="134" t="s">
        <v>183</v>
      </c>
      <c r="D5" s="134" t="s">
        <v>184</v>
      </c>
      <c r="E5" s="134" t="s">
        <v>185</v>
      </c>
      <c r="F5" s="133" t="s">
        <v>186</v>
      </c>
    </row>
    <row r="6" spans="1:6" x14ac:dyDescent="0.25">
      <c r="A6" s="181" t="s">
        <v>133</v>
      </c>
      <c r="B6" s="182">
        <v>62609962</v>
      </c>
      <c r="C6" s="182">
        <v>58895142</v>
      </c>
      <c r="D6" s="182">
        <f>+B6-C6</f>
        <v>3714820</v>
      </c>
      <c r="E6" s="182">
        <v>164169</v>
      </c>
      <c r="F6" s="272">
        <f t="shared" ref="F6:F21" si="0">+D6-E6</f>
        <v>3550651</v>
      </c>
    </row>
    <row r="7" spans="1:6" x14ac:dyDescent="0.25">
      <c r="A7" s="181" t="s">
        <v>155</v>
      </c>
      <c r="B7" s="182">
        <v>46299809</v>
      </c>
      <c r="C7" s="182">
        <v>17556404</v>
      </c>
      <c r="D7" s="182">
        <f t="shared" ref="D7:D24" si="1">+B7-C7</f>
        <v>28743405</v>
      </c>
      <c r="E7" s="182">
        <v>14976102</v>
      </c>
      <c r="F7" s="272">
        <f t="shared" si="0"/>
        <v>13767303</v>
      </c>
    </row>
    <row r="8" spans="1:6" x14ac:dyDescent="0.25">
      <c r="A8" s="181" t="s">
        <v>157</v>
      </c>
      <c r="B8" s="182">
        <v>-6908500</v>
      </c>
      <c r="C8" s="182">
        <v>0</v>
      </c>
      <c r="D8" s="182">
        <f t="shared" si="1"/>
        <v>-6908500</v>
      </c>
      <c r="E8" s="182">
        <v>0</v>
      </c>
      <c r="F8" s="272">
        <f t="shared" si="0"/>
        <v>-6908500</v>
      </c>
    </row>
    <row r="9" spans="1:6" x14ac:dyDescent="0.25">
      <c r="A9" s="181" t="s">
        <v>140</v>
      </c>
      <c r="B9" s="182">
        <v>65529928</v>
      </c>
      <c r="C9" s="182">
        <v>64517458</v>
      </c>
      <c r="D9" s="182">
        <f t="shared" si="1"/>
        <v>1012470</v>
      </c>
      <c r="E9" s="182">
        <v>133526</v>
      </c>
      <c r="F9" s="272">
        <f t="shared" si="0"/>
        <v>878944</v>
      </c>
    </row>
    <row r="10" spans="1:6" x14ac:dyDescent="0.25">
      <c r="A10" s="181" t="s">
        <v>158</v>
      </c>
      <c r="B10" s="182">
        <v>11715243</v>
      </c>
      <c r="C10" s="182">
        <v>11130783</v>
      </c>
      <c r="D10" s="182">
        <f t="shared" si="1"/>
        <v>584460</v>
      </c>
      <c r="E10" s="182">
        <v>370442</v>
      </c>
      <c r="F10" s="272">
        <f t="shared" si="0"/>
        <v>214018</v>
      </c>
    </row>
    <row r="11" spans="1:6" x14ac:dyDescent="0.25">
      <c r="A11" s="181" t="s">
        <v>159</v>
      </c>
      <c r="B11" s="182">
        <v>62454263</v>
      </c>
      <c r="C11" s="182">
        <v>60252397</v>
      </c>
      <c r="D11" s="182">
        <f t="shared" si="1"/>
        <v>2201866</v>
      </c>
      <c r="E11" s="182">
        <v>288039</v>
      </c>
      <c r="F11" s="272">
        <f t="shared" si="0"/>
        <v>1913827</v>
      </c>
    </row>
    <row r="12" spans="1:6" x14ac:dyDescent="0.25">
      <c r="A12" s="181" t="s">
        <v>160</v>
      </c>
      <c r="B12" s="182">
        <v>52889172</v>
      </c>
      <c r="C12" s="182">
        <v>45038510</v>
      </c>
      <c r="D12" s="182">
        <f t="shared" si="1"/>
        <v>7850662</v>
      </c>
      <c r="E12" s="182">
        <v>101754</v>
      </c>
      <c r="F12" s="272">
        <f t="shared" si="0"/>
        <v>7748908</v>
      </c>
    </row>
    <row r="13" spans="1:6" x14ac:dyDescent="0.25">
      <c r="A13" s="181" t="s">
        <v>161</v>
      </c>
      <c r="B13" s="182">
        <v>22553023</v>
      </c>
      <c r="C13" s="182">
        <v>22173397</v>
      </c>
      <c r="D13" s="182">
        <f t="shared" si="1"/>
        <v>379626</v>
      </c>
      <c r="E13" s="182">
        <v>34240</v>
      </c>
      <c r="F13" s="272">
        <f t="shared" si="0"/>
        <v>345386</v>
      </c>
    </row>
    <row r="14" spans="1:6" x14ac:dyDescent="0.25">
      <c r="A14" s="181" t="s">
        <v>134</v>
      </c>
      <c r="B14" s="182">
        <v>37633205</v>
      </c>
      <c r="C14" s="182">
        <v>36916853</v>
      </c>
      <c r="D14" s="182">
        <f t="shared" si="1"/>
        <v>716352</v>
      </c>
      <c r="E14" s="182">
        <v>130187</v>
      </c>
      <c r="F14" s="272">
        <f t="shared" si="0"/>
        <v>586165</v>
      </c>
    </row>
    <row r="15" spans="1:6" x14ac:dyDescent="0.25">
      <c r="A15" s="181" t="s">
        <v>135</v>
      </c>
      <c r="B15" s="182">
        <v>13996304</v>
      </c>
      <c r="C15" s="182">
        <v>12653709</v>
      </c>
      <c r="D15" s="182">
        <f t="shared" si="1"/>
        <v>1342595</v>
      </c>
      <c r="E15" s="182">
        <v>19263</v>
      </c>
      <c r="F15" s="272">
        <f t="shared" si="0"/>
        <v>1323332</v>
      </c>
    </row>
    <row r="16" spans="1:6" x14ac:dyDescent="0.25">
      <c r="A16" s="181" t="s">
        <v>163</v>
      </c>
      <c r="B16" s="182">
        <v>38931603</v>
      </c>
      <c r="C16" s="182">
        <v>34576686</v>
      </c>
      <c r="D16" s="182">
        <f t="shared" si="1"/>
        <v>4354917</v>
      </c>
      <c r="E16" s="182">
        <v>1646000</v>
      </c>
      <c r="F16" s="272">
        <f t="shared" si="0"/>
        <v>2708917</v>
      </c>
    </row>
    <row r="17" spans="1:6" x14ac:dyDescent="0.25">
      <c r="A17" s="181" t="s">
        <v>38</v>
      </c>
      <c r="B17" s="182">
        <v>0</v>
      </c>
      <c r="C17" s="182">
        <v>15000</v>
      </c>
      <c r="D17" s="182">
        <f t="shared" si="1"/>
        <v>-15000</v>
      </c>
      <c r="E17" s="182">
        <v>0</v>
      </c>
      <c r="F17" s="272">
        <f t="shared" si="0"/>
        <v>-15000</v>
      </c>
    </row>
    <row r="18" spans="1:6" x14ac:dyDescent="0.25">
      <c r="A18" s="181" t="s">
        <v>164</v>
      </c>
      <c r="B18" s="182">
        <v>29880183</v>
      </c>
      <c r="C18" s="182">
        <v>25627784</v>
      </c>
      <c r="D18" s="182">
        <f t="shared" si="1"/>
        <v>4252399</v>
      </c>
      <c r="E18" s="182">
        <v>545294</v>
      </c>
      <c r="F18" s="272">
        <f t="shared" si="0"/>
        <v>3707105</v>
      </c>
    </row>
    <row r="19" spans="1:6" x14ac:dyDescent="0.25">
      <c r="A19" s="181" t="s">
        <v>166</v>
      </c>
      <c r="B19" s="182">
        <v>25482523</v>
      </c>
      <c r="C19" s="182">
        <v>8316348</v>
      </c>
      <c r="D19" s="182">
        <f>11233411+5932764</f>
        <v>17166175</v>
      </c>
      <c r="E19" s="182">
        <f>11233411</f>
        <v>11233411</v>
      </c>
      <c r="F19" s="272">
        <f t="shared" si="0"/>
        <v>5932764</v>
      </c>
    </row>
    <row r="20" spans="1:6" x14ac:dyDescent="0.25">
      <c r="A20" s="181" t="s">
        <v>167</v>
      </c>
      <c r="B20" s="182">
        <v>43297347</v>
      </c>
      <c r="C20" s="182">
        <v>42603620</v>
      </c>
      <c r="D20" s="182">
        <f>1685201-991474</f>
        <v>693727</v>
      </c>
      <c r="E20" s="182">
        <v>1685201</v>
      </c>
      <c r="F20" s="272">
        <f t="shared" si="0"/>
        <v>-991474</v>
      </c>
    </row>
    <row r="21" spans="1:6" x14ac:dyDescent="0.25">
      <c r="A21" s="181" t="s">
        <v>139</v>
      </c>
      <c r="B21" s="182">
        <v>13319000</v>
      </c>
      <c r="C21" s="182">
        <v>13319000</v>
      </c>
      <c r="D21" s="182">
        <f t="shared" si="1"/>
        <v>0</v>
      </c>
      <c r="E21" s="182">
        <v>0</v>
      </c>
      <c r="F21" s="272">
        <f t="shared" si="0"/>
        <v>0</v>
      </c>
    </row>
    <row r="22" spans="1:6" x14ac:dyDescent="0.25">
      <c r="A22" s="181" t="s">
        <v>137</v>
      </c>
      <c r="B22" s="182">
        <v>46347773</v>
      </c>
      <c r="C22" s="182">
        <v>43460933</v>
      </c>
      <c r="D22" s="182">
        <f t="shared" si="1"/>
        <v>2886840</v>
      </c>
      <c r="E22" s="182">
        <v>733412</v>
      </c>
      <c r="F22" s="272">
        <f>+D22-E22</f>
        <v>2153428</v>
      </c>
    </row>
    <row r="23" spans="1:6" x14ac:dyDescent="0.25">
      <c r="A23" s="181" t="s">
        <v>168</v>
      </c>
      <c r="B23" s="182">
        <v>113542294</v>
      </c>
      <c r="C23" s="182">
        <v>100605487</v>
      </c>
      <c r="D23" s="182">
        <f t="shared" si="1"/>
        <v>12936807</v>
      </c>
      <c r="E23" s="182">
        <v>249268</v>
      </c>
      <c r="F23" s="272">
        <f>+D23-E23</f>
        <v>12687539</v>
      </c>
    </row>
    <row r="24" spans="1:6" x14ac:dyDescent="0.25">
      <c r="A24" s="181" t="s">
        <v>119</v>
      </c>
      <c r="B24" s="182">
        <v>52021272</v>
      </c>
      <c r="C24" s="182">
        <v>49752826</v>
      </c>
      <c r="D24" s="182">
        <f t="shared" si="1"/>
        <v>2268446</v>
      </c>
      <c r="E24" s="182">
        <v>1487547</v>
      </c>
      <c r="F24" s="272">
        <f>+D24-E24</f>
        <v>780899</v>
      </c>
    </row>
    <row r="25" spans="1:6" x14ac:dyDescent="0.25">
      <c r="A25" s="181" t="s">
        <v>120</v>
      </c>
      <c r="B25" s="182">
        <f>34582081-452535</f>
        <v>34129546</v>
      </c>
      <c r="C25" s="182">
        <v>30173612</v>
      </c>
      <c r="D25" s="182">
        <f>+B25-C25</f>
        <v>3955934</v>
      </c>
      <c r="E25" s="182">
        <v>42900</v>
      </c>
      <c r="F25" s="272">
        <f>+D25-E25</f>
        <v>3913034</v>
      </c>
    </row>
    <row r="26" spans="1:6" s="1" customFormat="1" x14ac:dyDescent="0.25">
      <c r="A26" s="124" t="s">
        <v>49</v>
      </c>
      <c r="B26" s="125">
        <f>SUM(B6:B25)</f>
        <v>765723950</v>
      </c>
      <c r="C26" s="125">
        <f>SUM(C6:C25)</f>
        <v>677585949</v>
      </c>
      <c r="D26" s="125">
        <f>+B26-C26</f>
        <v>88138001</v>
      </c>
      <c r="E26" s="125">
        <f>SUM(E6:E25)</f>
        <v>33840755</v>
      </c>
      <c r="F26" s="125">
        <f>SUM(F6:F25)</f>
        <v>54297246</v>
      </c>
    </row>
    <row r="29" spans="1:6" x14ac:dyDescent="0.25">
      <c r="F29" s="3"/>
    </row>
    <row r="30" spans="1:6" x14ac:dyDescent="0.25">
      <c r="F30" s="3"/>
    </row>
  </sheetData>
  <mergeCells count="3">
    <mergeCell ref="A1:F1"/>
    <mergeCell ref="A3:B3"/>
    <mergeCell ref="C3:F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94"/>
  <sheetViews>
    <sheetView topLeftCell="A52" workbookViewId="0">
      <selection activeCell="F59" sqref="F59"/>
    </sheetView>
  </sheetViews>
  <sheetFormatPr defaultRowHeight="13.2" x14ac:dyDescent="0.25"/>
  <cols>
    <col min="1" max="1" width="30.6640625" style="128" customWidth="1"/>
    <col min="2" max="6" width="11.6640625" style="129" customWidth="1"/>
    <col min="7" max="10" width="9.109375" style="4"/>
  </cols>
  <sheetData>
    <row r="1" spans="1:6" x14ac:dyDescent="0.25">
      <c r="A1" s="328" t="s">
        <v>171</v>
      </c>
      <c r="B1" s="328"/>
      <c r="C1" s="328"/>
      <c r="D1" s="328"/>
      <c r="E1" s="328"/>
      <c r="F1" s="328"/>
    </row>
    <row r="2" spans="1:6" x14ac:dyDescent="0.25">
      <c r="A2" s="328"/>
      <c r="B2" s="328"/>
      <c r="C2" s="328"/>
      <c r="D2" s="328"/>
      <c r="E2" s="328"/>
      <c r="F2" s="328"/>
    </row>
    <row r="4" spans="1:6" ht="12.75" customHeight="1" x14ac:dyDescent="0.25">
      <c r="A4" s="324" t="s">
        <v>172</v>
      </c>
      <c r="B4" s="324"/>
      <c r="C4" s="325" t="s">
        <v>173</v>
      </c>
      <c r="D4" s="326"/>
      <c r="E4" s="326"/>
      <c r="F4" s="327"/>
    </row>
    <row r="5" spans="1:6" ht="12.75" customHeight="1" x14ac:dyDescent="0.25"/>
    <row r="6" spans="1:6" ht="26.4" x14ac:dyDescent="0.25">
      <c r="A6" s="134" t="s">
        <v>147</v>
      </c>
      <c r="B6" s="183" t="s">
        <v>174</v>
      </c>
      <c r="C6" s="77" t="s">
        <v>148</v>
      </c>
      <c r="D6" s="77" t="s">
        <v>149</v>
      </c>
      <c r="E6" s="77" t="s">
        <v>150</v>
      </c>
      <c r="F6" s="77" t="s">
        <v>151</v>
      </c>
    </row>
    <row r="7" spans="1:6" x14ac:dyDescent="0.25">
      <c r="A7" s="124" t="s">
        <v>133</v>
      </c>
      <c r="B7" s="125">
        <f>SUM(B8:B10)</f>
        <v>62609962</v>
      </c>
      <c r="C7" s="125">
        <f t="shared" ref="C7:F7" si="0">SUM(C8:C10)</f>
        <v>58895142</v>
      </c>
      <c r="D7" s="125">
        <f t="shared" si="0"/>
        <v>3714820</v>
      </c>
      <c r="E7" s="125">
        <f t="shared" si="0"/>
        <v>164169</v>
      </c>
      <c r="F7" s="125">
        <f t="shared" si="0"/>
        <v>3550651</v>
      </c>
    </row>
    <row r="8" spans="1:6" x14ac:dyDescent="0.25">
      <c r="A8" s="126" t="s">
        <v>152</v>
      </c>
      <c r="B8" s="127">
        <v>523666</v>
      </c>
      <c r="C8" s="127">
        <v>0</v>
      </c>
      <c r="D8" s="127">
        <v>523666</v>
      </c>
      <c r="E8" s="127">
        <v>0</v>
      </c>
      <c r="F8" s="127">
        <f>+D8-E8</f>
        <v>523666</v>
      </c>
    </row>
    <row r="9" spans="1:6" x14ac:dyDescent="0.25">
      <c r="A9" s="130" t="s">
        <v>153</v>
      </c>
      <c r="B9" s="131">
        <v>8367911</v>
      </c>
      <c r="C9" s="131">
        <v>6823104</v>
      </c>
      <c r="D9" s="131">
        <v>1544807</v>
      </c>
      <c r="E9" s="131">
        <v>0</v>
      </c>
      <c r="F9" s="131">
        <f t="shared" ref="F9:F66" si="1">+D9-E9</f>
        <v>1544807</v>
      </c>
    </row>
    <row r="10" spans="1:6" x14ac:dyDescent="0.25">
      <c r="A10" s="130" t="s">
        <v>154</v>
      </c>
      <c r="B10" s="131">
        <v>53718385</v>
      </c>
      <c r="C10" s="131">
        <v>52072038</v>
      </c>
      <c r="D10" s="131">
        <v>1646347</v>
      </c>
      <c r="E10" s="131">
        <v>164169</v>
      </c>
      <c r="F10" s="131">
        <f t="shared" si="1"/>
        <v>1482178</v>
      </c>
    </row>
    <row r="11" spans="1:6" x14ac:dyDescent="0.25">
      <c r="A11" s="124" t="s">
        <v>155</v>
      </c>
      <c r="B11" s="125">
        <f>SUM(B12:B15)</f>
        <v>46299809</v>
      </c>
      <c r="C11" s="125">
        <f t="shared" ref="C11:E11" si="2">SUM(C12:C15)</f>
        <v>17556404</v>
      </c>
      <c r="D11" s="125">
        <f t="shared" si="2"/>
        <v>28743405</v>
      </c>
      <c r="E11" s="125">
        <f t="shared" si="2"/>
        <v>14976102</v>
      </c>
      <c r="F11" s="125">
        <f t="shared" si="1"/>
        <v>13767303</v>
      </c>
    </row>
    <row r="12" spans="1:6" x14ac:dyDescent="0.25">
      <c r="A12" s="126" t="s">
        <v>152</v>
      </c>
      <c r="B12" s="127">
        <v>14521344</v>
      </c>
      <c r="C12" s="127">
        <v>819869</v>
      </c>
      <c r="D12" s="127">
        <v>13701475</v>
      </c>
      <c r="E12" s="127">
        <v>0</v>
      </c>
      <c r="F12" s="127">
        <f t="shared" si="1"/>
        <v>13701475</v>
      </c>
    </row>
    <row r="13" spans="1:6" x14ac:dyDescent="0.25">
      <c r="A13" s="126" t="s">
        <v>156</v>
      </c>
      <c r="B13" s="127">
        <v>1554422</v>
      </c>
      <c r="C13" s="127">
        <v>0</v>
      </c>
      <c r="D13" s="127">
        <v>1554422</v>
      </c>
      <c r="E13" s="127">
        <v>0</v>
      </c>
      <c r="F13" s="127">
        <f t="shared" si="1"/>
        <v>1554422</v>
      </c>
    </row>
    <row r="14" spans="1:6" x14ac:dyDescent="0.25">
      <c r="A14" s="130" t="s">
        <v>153</v>
      </c>
      <c r="B14" s="131">
        <v>2630904</v>
      </c>
      <c r="C14" s="131">
        <v>7829633</v>
      </c>
      <c r="D14" s="131">
        <v>-5198729</v>
      </c>
      <c r="E14" s="131">
        <v>1677520</v>
      </c>
      <c r="F14" s="131">
        <f t="shared" si="1"/>
        <v>-6876249</v>
      </c>
    </row>
    <row r="15" spans="1:6" x14ac:dyDescent="0.25">
      <c r="A15" s="130" t="s">
        <v>154</v>
      </c>
      <c r="B15" s="131">
        <v>27593139</v>
      </c>
      <c r="C15" s="131">
        <v>8906902</v>
      </c>
      <c r="D15" s="131">
        <v>18686237</v>
      </c>
      <c r="E15" s="131">
        <v>13298582</v>
      </c>
      <c r="F15" s="131">
        <f t="shared" si="1"/>
        <v>5387655</v>
      </c>
    </row>
    <row r="16" spans="1:6" x14ac:dyDescent="0.25">
      <c r="A16" s="124" t="s">
        <v>157</v>
      </c>
      <c r="B16" s="125">
        <f>SUM(B17:B20)</f>
        <v>-6908500</v>
      </c>
      <c r="C16" s="125">
        <f t="shared" ref="C16:E16" si="3">SUM(C17:C20)</f>
        <v>0</v>
      </c>
      <c r="D16" s="125">
        <f t="shared" si="3"/>
        <v>-6908500</v>
      </c>
      <c r="E16" s="125">
        <f t="shared" si="3"/>
        <v>0</v>
      </c>
      <c r="F16" s="125">
        <f t="shared" si="1"/>
        <v>-6908500</v>
      </c>
    </row>
    <row r="17" spans="1:6" x14ac:dyDescent="0.25">
      <c r="A17" s="126" t="s">
        <v>152</v>
      </c>
      <c r="B17" s="127">
        <v>-6851439</v>
      </c>
      <c r="C17" s="127">
        <v>0</v>
      </c>
      <c r="D17" s="127">
        <f>+B17</f>
        <v>-6851439</v>
      </c>
      <c r="E17" s="127">
        <v>0</v>
      </c>
      <c r="F17" s="127">
        <f t="shared" si="1"/>
        <v>-6851439</v>
      </c>
    </row>
    <row r="18" spans="1:6" x14ac:dyDescent="0.25">
      <c r="A18" s="126" t="s">
        <v>156</v>
      </c>
      <c r="B18" s="127">
        <v>-28124</v>
      </c>
      <c r="C18" s="127">
        <v>0</v>
      </c>
      <c r="D18" s="127">
        <v>-28124</v>
      </c>
      <c r="E18" s="127">
        <v>0</v>
      </c>
      <c r="F18" s="127">
        <f t="shared" si="1"/>
        <v>-28124</v>
      </c>
    </row>
    <row r="19" spans="1:6" x14ac:dyDescent="0.25">
      <c r="A19" s="130" t="s">
        <v>153</v>
      </c>
      <c r="B19" s="131">
        <v>-3937</v>
      </c>
      <c r="C19" s="131">
        <v>0</v>
      </c>
      <c r="D19" s="131">
        <v>-3937</v>
      </c>
      <c r="E19" s="131">
        <v>0</v>
      </c>
      <c r="F19" s="131">
        <f t="shared" si="1"/>
        <v>-3937</v>
      </c>
    </row>
    <row r="20" spans="1:6" x14ac:dyDescent="0.25">
      <c r="A20" s="130" t="s">
        <v>154</v>
      </c>
      <c r="B20" s="131">
        <v>-25000</v>
      </c>
      <c r="C20" s="131">
        <v>0</v>
      </c>
      <c r="D20" s="131">
        <v>-25000</v>
      </c>
      <c r="E20" s="131">
        <v>0</v>
      </c>
      <c r="F20" s="131">
        <f t="shared" si="1"/>
        <v>-25000</v>
      </c>
    </row>
    <row r="21" spans="1:6" x14ac:dyDescent="0.25">
      <c r="A21" s="124" t="s">
        <v>140</v>
      </c>
      <c r="B21" s="125">
        <f>SUM(B22:B24)</f>
        <v>65529928</v>
      </c>
      <c r="C21" s="125">
        <f t="shared" ref="C21:E21" si="4">SUM(C22:C24)</f>
        <v>64517458</v>
      </c>
      <c r="D21" s="125">
        <f t="shared" si="4"/>
        <v>1012470</v>
      </c>
      <c r="E21" s="125">
        <f t="shared" si="4"/>
        <v>133526</v>
      </c>
      <c r="F21" s="125">
        <f t="shared" si="1"/>
        <v>878944</v>
      </c>
    </row>
    <row r="22" spans="1:6" x14ac:dyDescent="0.25">
      <c r="A22" s="126" t="s">
        <v>152</v>
      </c>
      <c r="B22" s="127">
        <v>164400</v>
      </c>
      <c r="C22" s="127">
        <v>50602</v>
      </c>
      <c r="D22" s="127">
        <v>113798</v>
      </c>
      <c r="E22" s="127">
        <v>42324</v>
      </c>
      <c r="F22" s="127">
        <f t="shared" si="1"/>
        <v>71474</v>
      </c>
    </row>
    <row r="23" spans="1:6" x14ac:dyDescent="0.25">
      <c r="A23" s="130" t="s">
        <v>153</v>
      </c>
      <c r="B23" s="131">
        <v>8625090</v>
      </c>
      <c r="C23" s="131">
        <v>7451477</v>
      </c>
      <c r="D23" s="131">
        <v>1173613</v>
      </c>
      <c r="E23" s="131">
        <v>0</v>
      </c>
      <c r="F23" s="131">
        <f t="shared" si="1"/>
        <v>1173613</v>
      </c>
    </row>
    <row r="24" spans="1:6" x14ac:dyDescent="0.25">
      <c r="A24" s="130" t="s">
        <v>154</v>
      </c>
      <c r="B24" s="131">
        <v>56740438</v>
      </c>
      <c r="C24" s="131">
        <v>57015379</v>
      </c>
      <c r="D24" s="131">
        <v>-274941</v>
      </c>
      <c r="E24" s="131">
        <v>91202</v>
      </c>
      <c r="F24" s="131">
        <f t="shared" si="1"/>
        <v>-366143</v>
      </c>
    </row>
    <row r="25" spans="1:6" x14ac:dyDescent="0.25">
      <c r="A25" s="124" t="s">
        <v>158</v>
      </c>
      <c r="B25" s="125">
        <f>SUM(B26:B28)</f>
        <v>11715243</v>
      </c>
      <c r="C25" s="125">
        <f t="shared" ref="C25:E25" si="5">SUM(C26:C28)</f>
        <v>11130783</v>
      </c>
      <c r="D25" s="125">
        <f t="shared" si="5"/>
        <v>584460</v>
      </c>
      <c r="E25" s="125">
        <f t="shared" si="5"/>
        <v>370442</v>
      </c>
      <c r="F25" s="125">
        <f t="shared" si="1"/>
        <v>214018</v>
      </c>
    </row>
    <row r="26" spans="1:6" x14ac:dyDescent="0.25">
      <c r="A26" s="126" t="s">
        <v>152</v>
      </c>
      <c r="B26" s="127">
        <v>184783</v>
      </c>
      <c r="C26" s="127">
        <v>12605</v>
      </c>
      <c r="D26" s="127">
        <v>172178</v>
      </c>
      <c r="E26" s="127">
        <v>0</v>
      </c>
      <c r="F26" s="127">
        <f t="shared" si="1"/>
        <v>172178</v>
      </c>
    </row>
    <row r="27" spans="1:6" x14ac:dyDescent="0.25">
      <c r="A27" s="130" t="s">
        <v>153</v>
      </c>
      <c r="B27" s="131">
        <v>2398530</v>
      </c>
      <c r="C27" s="131">
        <v>1285742</v>
      </c>
      <c r="D27" s="131">
        <v>1112788</v>
      </c>
      <c r="E27" s="131">
        <v>39650</v>
      </c>
      <c r="F27" s="131">
        <f t="shared" si="1"/>
        <v>1073138</v>
      </c>
    </row>
    <row r="28" spans="1:6" x14ac:dyDescent="0.25">
      <c r="A28" s="130" t="s">
        <v>154</v>
      </c>
      <c r="B28" s="131">
        <v>9131930</v>
      </c>
      <c r="C28" s="131">
        <v>9832436</v>
      </c>
      <c r="D28" s="131">
        <v>-700506</v>
      </c>
      <c r="E28" s="131">
        <v>330792</v>
      </c>
      <c r="F28" s="131">
        <f t="shared" si="1"/>
        <v>-1031298</v>
      </c>
    </row>
    <row r="29" spans="1:6" x14ac:dyDescent="0.25">
      <c r="A29" s="124" t="s">
        <v>159</v>
      </c>
      <c r="B29" s="125">
        <f>SUM(B30:B32)</f>
        <v>62454263</v>
      </c>
      <c r="C29" s="125">
        <f t="shared" ref="C29:E29" si="6">SUM(C30:C32)</f>
        <v>60252397</v>
      </c>
      <c r="D29" s="125">
        <f t="shared" si="6"/>
        <v>2201866</v>
      </c>
      <c r="E29" s="125">
        <f t="shared" si="6"/>
        <v>288039</v>
      </c>
      <c r="F29" s="125">
        <f t="shared" si="1"/>
        <v>1913827</v>
      </c>
    </row>
    <row r="30" spans="1:6" x14ac:dyDescent="0.25">
      <c r="A30" s="126" t="s">
        <v>152</v>
      </c>
      <c r="B30" s="127">
        <v>536514</v>
      </c>
      <c r="C30" s="127">
        <v>47430</v>
      </c>
      <c r="D30" s="127">
        <v>489084</v>
      </c>
      <c r="E30" s="127">
        <v>150000</v>
      </c>
      <c r="F30" s="127">
        <f t="shared" si="1"/>
        <v>339084</v>
      </c>
    </row>
    <row r="31" spans="1:6" x14ac:dyDescent="0.25">
      <c r="A31" s="130" t="s">
        <v>153</v>
      </c>
      <c r="B31" s="131">
        <v>8253074</v>
      </c>
      <c r="C31" s="131">
        <v>6948854</v>
      </c>
      <c r="D31" s="131">
        <v>1304220</v>
      </c>
      <c r="E31" s="131">
        <v>0</v>
      </c>
      <c r="F31" s="131">
        <f t="shared" si="1"/>
        <v>1304220</v>
      </c>
    </row>
    <row r="32" spans="1:6" x14ac:dyDescent="0.25">
      <c r="A32" s="130" t="s">
        <v>154</v>
      </c>
      <c r="B32" s="131">
        <v>53664675</v>
      </c>
      <c r="C32" s="131">
        <v>53256113</v>
      </c>
      <c r="D32" s="131">
        <v>408562</v>
      </c>
      <c r="E32" s="131">
        <v>138039</v>
      </c>
      <c r="F32" s="131">
        <f t="shared" si="1"/>
        <v>270523</v>
      </c>
    </row>
    <row r="33" spans="1:6" x14ac:dyDescent="0.25">
      <c r="A33" s="124" t="s">
        <v>160</v>
      </c>
      <c r="B33" s="125">
        <f>SUM(B34:B36)</f>
        <v>52889172</v>
      </c>
      <c r="C33" s="125">
        <f t="shared" ref="C33:E33" si="7">SUM(C34:C36)</f>
        <v>45038510</v>
      </c>
      <c r="D33" s="125">
        <f t="shared" si="7"/>
        <v>7850662</v>
      </c>
      <c r="E33" s="125">
        <f t="shared" si="7"/>
        <v>101754</v>
      </c>
      <c r="F33" s="125">
        <f t="shared" si="1"/>
        <v>7748908</v>
      </c>
    </row>
    <row r="34" spans="1:6" x14ac:dyDescent="0.25">
      <c r="A34" s="126" t="s">
        <v>152</v>
      </c>
      <c r="B34" s="127">
        <v>14116638</v>
      </c>
      <c r="C34" s="127">
        <v>566086</v>
      </c>
      <c r="D34" s="127">
        <v>13550552</v>
      </c>
      <c r="E34" s="127">
        <v>6378</v>
      </c>
      <c r="F34" s="127">
        <f t="shared" si="1"/>
        <v>13544174</v>
      </c>
    </row>
    <row r="35" spans="1:6" x14ac:dyDescent="0.25">
      <c r="A35" s="130" t="s">
        <v>153</v>
      </c>
      <c r="B35" s="131">
        <v>5114115</v>
      </c>
      <c r="C35" s="131">
        <v>6343718</v>
      </c>
      <c r="D35" s="131">
        <v>-1229603</v>
      </c>
      <c r="E35" s="131">
        <v>0</v>
      </c>
      <c r="F35" s="131">
        <f t="shared" si="1"/>
        <v>-1229603</v>
      </c>
    </row>
    <row r="36" spans="1:6" x14ac:dyDescent="0.25">
      <c r="A36" s="130" t="s">
        <v>154</v>
      </c>
      <c r="B36" s="131">
        <v>33658419</v>
      </c>
      <c r="C36" s="131">
        <v>38128706</v>
      </c>
      <c r="D36" s="131">
        <v>-4470287</v>
      </c>
      <c r="E36" s="131">
        <v>95376</v>
      </c>
      <c r="F36" s="131">
        <f t="shared" si="1"/>
        <v>-4565663</v>
      </c>
    </row>
    <row r="37" spans="1:6" x14ac:dyDescent="0.25">
      <c r="A37" s="124" t="s">
        <v>161</v>
      </c>
      <c r="B37" s="125">
        <f>SUM(B38:B40)</f>
        <v>22553023</v>
      </c>
      <c r="C37" s="125">
        <f>SUM(C38:C40)</f>
        <v>22173397</v>
      </c>
      <c r="D37" s="125">
        <f>SUM(D38:D40)</f>
        <v>379626</v>
      </c>
      <c r="E37" s="125">
        <f>SUM(E38:E40)</f>
        <v>34240</v>
      </c>
      <c r="F37" s="125">
        <f t="shared" si="1"/>
        <v>345386</v>
      </c>
    </row>
    <row r="38" spans="1:6" x14ac:dyDescent="0.25">
      <c r="A38" s="126" t="s">
        <v>230</v>
      </c>
      <c r="B38" s="127">
        <v>728659</v>
      </c>
      <c r="C38" s="127">
        <f>62617+126765</f>
        <v>189382</v>
      </c>
      <c r="D38" s="127">
        <f>666042-126765</f>
        <v>539277</v>
      </c>
      <c r="E38" s="127">
        <v>0</v>
      </c>
      <c r="F38" s="127">
        <f t="shared" si="1"/>
        <v>539277</v>
      </c>
    </row>
    <row r="39" spans="1:6" x14ac:dyDescent="0.25">
      <c r="A39" s="130" t="s">
        <v>153</v>
      </c>
      <c r="B39" s="131">
        <v>2900869</v>
      </c>
      <c r="C39" s="131">
        <v>2542199</v>
      </c>
      <c r="D39" s="131">
        <v>358670</v>
      </c>
      <c r="E39" s="131">
        <v>0</v>
      </c>
      <c r="F39" s="131">
        <f t="shared" si="1"/>
        <v>358670</v>
      </c>
    </row>
    <row r="40" spans="1:6" x14ac:dyDescent="0.25">
      <c r="A40" s="130" t="s">
        <v>154</v>
      </c>
      <c r="B40" s="131">
        <v>18923495</v>
      </c>
      <c r="C40" s="131">
        <v>19441816</v>
      </c>
      <c r="D40" s="131">
        <v>-518321</v>
      </c>
      <c r="E40" s="131">
        <v>34240</v>
      </c>
      <c r="F40" s="131">
        <f t="shared" si="1"/>
        <v>-552561</v>
      </c>
    </row>
    <row r="41" spans="1:6" x14ac:dyDescent="0.25">
      <c r="A41" s="124" t="s">
        <v>134</v>
      </c>
      <c r="B41" s="125">
        <f>SUM(B42:B44)</f>
        <v>37633205</v>
      </c>
      <c r="C41" s="125">
        <f t="shared" ref="C41:E41" si="8">SUM(C42:C44)</f>
        <v>36916853</v>
      </c>
      <c r="D41" s="125">
        <f t="shared" si="8"/>
        <v>716352</v>
      </c>
      <c r="E41" s="125">
        <f t="shared" si="8"/>
        <v>130187</v>
      </c>
      <c r="F41" s="125">
        <f t="shared" si="1"/>
        <v>586165</v>
      </c>
    </row>
    <row r="42" spans="1:6" x14ac:dyDescent="0.25">
      <c r="A42" s="126" t="s">
        <v>152</v>
      </c>
      <c r="B42" s="127">
        <v>165280</v>
      </c>
      <c r="C42" s="127">
        <v>11737</v>
      </c>
      <c r="D42" s="127">
        <v>153543</v>
      </c>
      <c r="E42" s="127">
        <v>0</v>
      </c>
      <c r="F42" s="127">
        <f t="shared" si="1"/>
        <v>153543</v>
      </c>
    </row>
    <row r="43" spans="1:6" x14ac:dyDescent="0.25">
      <c r="A43" s="130" t="s">
        <v>153</v>
      </c>
      <c r="B43" s="131">
        <v>4749357</v>
      </c>
      <c r="C43" s="131">
        <v>4264069</v>
      </c>
      <c r="D43" s="131">
        <v>485288</v>
      </c>
      <c r="E43" s="131">
        <v>0</v>
      </c>
      <c r="F43" s="131">
        <f t="shared" si="1"/>
        <v>485288</v>
      </c>
    </row>
    <row r="44" spans="1:6" x14ac:dyDescent="0.25">
      <c r="A44" s="130" t="s">
        <v>154</v>
      </c>
      <c r="B44" s="131">
        <v>32718568</v>
      </c>
      <c r="C44" s="131">
        <v>32641047</v>
      </c>
      <c r="D44" s="131">
        <v>77521</v>
      </c>
      <c r="E44" s="131">
        <v>130187</v>
      </c>
      <c r="F44" s="131">
        <f t="shared" si="1"/>
        <v>-52666</v>
      </c>
    </row>
    <row r="45" spans="1:6" x14ac:dyDescent="0.25">
      <c r="A45" s="124" t="s">
        <v>135</v>
      </c>
      <c r="B45" s="125">
        <f>SUM(B46:B48)</f>
        <v>13996304</v>
      </c>
      <c r="C45" s="125">
        <f t="shared" ref="C45:E45" si="9">SUM(C46:C48)</f>
        <v>12653709</v>
      </c>
      <c r="D45" s="125">
        <f t="shared" si="9"/>
        <v>1342595</v>
      </c>
      <c r="E45" s="125">
        <f t="shared" si="9"/>
        <v>19263</v>
      </c>
      <c r="F45" s="125">
        <f t="shared" si="1"/>
        <v>1323332</v>
      </c>
    </row>
    <row r="46" spans="1:6" x14ac:dyDescent="0.25">
      <c r="A46" s="126" t="s">
        <v>152</v>
      </c>
      <c r="B46" s="127">
        <v>160170</v>
      </c>
      <c r="C46" s="127">
        <v>0</v>
      </c>
      <c r="D46" s="127">
        <v>160170</v>
      </c>
      <c r="E46" s="127">
        <v>0</v>
      </c>
      <c r="F46" s="127">
        <f t="shared" si="1"/>
        <v>160170</v>
      </c>
    </row>
    <row r="47" spans="1:6" x14ac:dyDescent="0.25">
      <c r="A47" s="130" t="s">
        <v>153</v>
      </c>
      <c r="B47" s="131">
        <v>1735491</v>
      </c>
      <c r="C47" s="131">
        <v>1439244</v>
      </c>
      <c r="D47" s="131">
        <v>296247</v>
      </c>
      <c r="E47" s="131">
        <v>0</v>
      </c>
      <c r="F47" s="131">
        <f t="shared" si="1"/>
        <v>296247</v>
      </c>
    </row>
    <row r="48" spans="1:6" x14ac:dyDescent="0.25">
      <c r="A48" s="130" t="s">
        <v>154</v>
      </c>
      <c r="B48" s="131">
        <v>12100643</v>
      </c>
      <c r="C48" s="131">
        <v>11214465</v>
      </c>
      <c r="D48" s="131">
        <v>886178</v>
      </c>
      <c r="E48" s="131">
        <v>19263</v>
      </c>
      <c r="F48" s="131">
        <f t="shared" si="1"/>
        <v>866915</v>
      </c>
    </row>
    <row r="49" spans="1:6" x14ac:dyDescent="0.25">
      <c r="A49" s="124" t="s">
        <v>163</v>
      </c>
      <c r="B49" s="125">
        <f>SUM(B50:B52)</f>
        <v>38931603</v>
      </c>
      <c r="C49" s="125">
        <f t="shared" ref="C49:E49" si="10">SUM(C50:C52)</f>
        <v>34576686</v>
      </c>
      <c r="D49" s="125">
        <f t="shared" si="10"/>
        <v>4354917</v>
      </c>
      <c r="E49" s="125">
        <f t="shared" si="10"/>
        <v>1646000</v>
      </c>
      <c r="F49" s="125">
        <f t="shared" si="1"/>
        <v>2708917</v>
      </c>
    </row>
    <row r="50" spans="1:6" x14ac:dyDescent="0.25">
      <c r="A50" s="126" t="s">
        <v>152</v>
      </c>
      <c r="B50" s="127">
        <v>239067</v>
      </c>
      <c r="C50" s="127">
        <v>0</v>
      </c>
      <c r="D50" s="127">
        <v>239067</v>
      </c>
      <c r="E50" s="127">
        <v>0</v>
      </c>
      <c r="F50" s="127">
        <f t="shared" si="1"/>
        <v>239067</v>
      </c>
    </row>
    <row r="51" spans="1:6" x14ac:dyDescent="0.25">
      <c r="A51" s="130" t="s">
        <v>153</v>
      </c>
      <c r="B51" s="131">
        <v>5184962</v>
      </c>
      <c r="C51" s="131">
        <v>3897016</v>
      </c>
      <c r="D51" s="131">
        <v>1287946</v>
      </c>
      <c r="E51" s="131">
        <v>173030</v>
      </c>
      <c r="F51" s="131">
        <f t="shared" si="1"/>
        <v>1114916</v>
      </c>
    </row>
    <row r="52" spans="1:6" x14ac:dyDescent="0.25">
      <c r="A52" s="130" t="s">
        <v>154</v>
      </c>
      <c r="B52" s="131">
        <v>33507574</v>
      </c>
      <c r="C52" s="131">
        <v>30679670</v>
      </c>
      <c r="D52" s="131">
        <v>2827904</v>
      </c>
      <c r="E52" s="131">
        <v>1472970</v>
      </c>
      <c r="F52" s="131">
        <f t="shared" si="1"/>
        <v>1354934</v>
      </c>
    </row>
    <row r="53" spans="1:6" x14ac:dyDescent="0.25">
      <c r="A53" s="124" t="s">
        <v>38</v>
      </c>
      <c r="B53" s="125">
        <f>+B54</f>
        <v>0</v>
      </c>
      <c r="C53" s="125">
        <f t="shared" ref="C53:E53" si="11">+C54</f>
        <v>15000</v>
      </c>
      <c r="D53" s="125">
        <f t="shared" si="11"/>
        <v>-15000</v>
      </c>
      <c r="E53" s="125">
        <f t="shared" si="11"/>
        <v>0</v>
      </c>
      <c r="F53" s="125">
        <f t="shared" si="1"/>
        <v>-15000</v>
      </c>
    </row>
    <row r="54" spans="1:6" x14ac:dyDescent="0.25">
      <c r="A54" s="126" t="s">
        <v>152</v>
      </c>
      <c r="B54" s="127">
        <v>0</v>
      </c>
      <c r="C54" s="127">
        <v>15000</v>
      </c>
      <c r="D54" s="127">
        <v>-15000</v>
      </c>
      <c r="E54" s="127">
        <v>0</v>
      </c>
      <c r="F54" s="127">
        <f t="shared" si="1"/>
        <v>-15000</v>
      </c>
    </row>
    <row r="55" spans="1:6" x14ac:dyDescent="0.25">
      <c r="A55" s="124" t="s">
        <v>164</v>
      </c>
      <c r="B55" s="125">
        <f>SUM(B56:B58)</f>
        <v>29880183</v>
      </c>
      <c r="C55" s="125">
        <f>SUM(C56:C58)</f>
        <v>25627784</v>
      </c>
      <c r="D55" s="125">
        <f>SUM(D56:D58)</f>
        <v>4252399</v>
      </c>
      <c r="E55" s="125">
        <f>SUM(E56:E58)</f>
        <v>545294</v>
      </c>
      <c r="F55" s="125">
        <f t="shared" si="1"/>
        <v>3707105</v>
      </c>
    </row>
    <row r="56" spans="1:6" x14ac:dyDescent="0.25">
      <c r="A56" s="126" t="s">
        <v>231</v>
      </c>
      <c r="B56" s="127">
        <v>754395</v>
      </c>
      <c r="C56" s="127">
        <f>56640+142800</f>
        <v>199440</v>
      </c>
      <c r="D56" s="127">
        <f>697755-142800</f>
        <v>554955</v>
      </c>
      <c r="E56" s="127">
        <v>0</v>
      </c>
      <c r="F56" s="127">
        <f t="shared" si="1"/>
        <v>554955</v>
      </c>
    </row>
    <row r="57" spans="1:6" x14ac:dyDescent="0.25">
      <c r="A57" s="130" t="s">
        <v>153</v>
      </c>
      <c r="B57" s="131">
        <v>4111095</v>
      </c>
      <c r="C57" s="131">
        <v>2948616</v>
      </c>
      <c r="D57" s="131">
        <v>1162479</v>
      </c>
      <c r="E57" s="131">
        <v>57460</v>
      </c>
      <c r="F57" s="131">
        <f t="shared" si="1"/>
        <v>1105019</v>
      </c>
    </row>
    <row r="58" spans="1:6" x14ac:dyDescent="0.25">
      <c r="A58" s="130" t="s">
        <v>154</v>
      </c>
      <c r="B58" s="131">
        <v>25014693</v>
      </c>
      <c r="C58" s="131">
        <v>22479728</v>
      </c>
      <c r="D58" s="131">
        <v>2534965</v>
      </c>
      <c r="E58" s="131">
        <v>487834</v>
      </c>
      <c r="F58" s="131">
        <f t="shared" si="1"/>
        <v>2047131</v>
      </c>
    </row>
    <row r="59" spans="1:6" x14ac:dyDescent="0.25">
      <c r="A59" s="124" t="s">
        <v>166</v>
      </c>
      <c r="B59" s="125">
        <f>SUM(B60:B65)</f>
        <v>25482523</v>
      </c>
      <c r="C59" s="125">
        <f>SUM(C60:C65)</f>
        <v>8316348</v>
      </c>
      <c r="D59" s="125">
        <f>SUM(D60:D65)</f>
        <v>17166175</v>
      </c>
      <c r="E59" s="125">
        <f>SUM(E60:E65)</f>
        <v>11233411</v>
      </c>
      <c r="F59" s="125">
        <f t="shared" si="1"/>
        <v>5932764</v>
      </c>
    </row>
    <row r="60" spans="1:6" x14ac:dyDescent="0.25">
      <c r="A60" s="130" t="s">
        <v>162</v>
      </c>
      <c r="B60" s="131">
        <v>-1033784</v>
      </c>
      <c r="C60" s="131">
        <v>473780</v>
      </c>
      <c r="D60" s="131">
        <v>-1507564</v>
      </c>
      <c r="E60" s="131">
        <v>0</v>
      </c>
      <c r="F60" s="131">
        <f t="shared" si="1"/>
        <v>-1507564</v>
      </c>
    </row>
    <row r="61" spans="1:6" x14ac:dyDescent="0.25">
      <c r="A61" s="130" t="s">
        <v>152</v>
      </c>
      <c r="B61" s="131">
        <v>8618831</v>
      </c>
      <c r="C61" s="131">
        <v>6834907</v>
      </c>
      <c r="D61" s="131">
        <v>1783924</v>
      </c>
      <c r="E61" s="131">
        <v>11233411</v>
      </c>
      <c r="F61" s="131">
        <f t="shared" si="1"/>
        <v>-9449487</v>
      </c>
    </row>
    <row r="62" spans="1:6" x14ac:dyDescent="0.25">
      <c r="A62" s="130" t="s">
        <v>156</v>
      </c>
      <c r="B62" s="131">
        <v>487214</v>
      </c>
      <c r="C62" s="131">
        <v>0</v>
      </c>
      <c r="D62" s="131">
        <v>487214</v>
      </c>
      <c r="E62" s="131">
        <v>0</v>
      </c>
      <c r="F62" s="131">
        <f t="shared" si="1"/>
        <v>487214</v>
      </c>
    </row>
    <row r="63" spans="1:6" x14ac:dyDescent="0.25">
      <c r="A63" s="130" t="s">
        <v>165</v>
      </c>
      <c r="B63" s="131">
        <v>-194107</v>
      </c>
      <c r="C63" s="131">
        <v>0</v>
      </c>
      <c r="D63" s="131">
        <v>-194107</v>
      </c>
      <c r="E63" s="131">
        <v>0</v>
      </c>
      <c r="F63" s="131">
        <f t="shared" si="1"/>
        <v>-194107</v>
      </c>
    </row>
    <row r="64" spans="1:6" x14ac:dyDescent="0.25">
      <c r="A64" s="130" t="s">
        <v>153</v>
      </c>
      <c r="B64" s="131">
        <v>2692977</v>
      </c>
      <c r="C64" s="131">
        <v>115466</v>
      </c>
      <c r="D64" s="131">
        <v>2577511</v>
      </c>
      <c r="E64" s="131">
        <v>0</v>
      </c>
      <c r="F64" s="131">
        <f t="shared" si="1"/>
        <v>2577511</v>
      </c>
    </row>
    <row r="65" spans="1:6" x14ac:dyDescent="0.25">
      <c r="A65" s="130" t="s">
        <v>154</v>
      </c>
      <c r="B65" s="131">
        <v>14911392</v>
      </c>
      <c r="C65" s="131">
        <v>892195</v>
      </c>
      <c r="D65" s="131">
        <v>14019197</v>
      </c>
      <c r="E65" s="131">
        <v>0</v>
      </c>
      <c r="F65" s="131">
        <f t="shared" si="1"/>
        <v>14019197</v>
      </c>
    </row>
    <row r="66" spans="1:6" x14ac:dyDescent="0.25">
      <c r="A66" s="124" t="s">
        <v>167</v>
      </c>
      <c r="B66" s="125">
        <f>SUM(B67:B69)</f>
        <v>43297347</v>
      </c>
      <c r="C66" s="125">
        <f t="shared" ref="C66:E66" si="12">SUM(C67:C69)</f>
        <v>42603620</v>
      </c>
      <c r="D66" s="125">
        <f t="shared" si="12"/>
        <v>693727</v>
      </c>
      <c r="E66" s="125">
        <f t="shared" si="12"/>
        <v>1685201</v>
      </c>
      <c r="F66" s="125">
        <f t="shared" si="1"/>
        <v>-991474</v>
      </c>
    </row>
    <row r="67" spans="1:6" x14ac:dyDescent="0.25">
      <c r="A67" s="126" t="s">
        <v>152</v>
      </c>
      <c r="B67" s="127">
        <v>187423</v>
      </c>
      <c r="C67" s="127">
        <v>28500</v>
      </c>
      <c r="D67" s="127">
        <v>158923</v>
      </c>
      <c r="E67" s="127">
        <v>46500</v>
      </c>
      <c r="F67" s="127">
        <f t="shared" ref="F67:F93" si="13">+D67-E67</f>
        <v>112423</v>
      </c>
    </row>
    <row r="68" spans="1:6" x14ac:dyDescent="0.25">
      <c r="A68" s="130" t="s">
        <v>153</v>
      </c>
      <c r="B68" s="131">
        <v>7197423</v>
      </c>
      <c r="C68" s="131">
        <v>5150998</v>
      </c>
      <c r="D68" s="131">
        <v>2046425</v>
      </c>
      <c r="E68" s="131">
        <v>340184</v>
      </c>
      <c r="F68" s="131">
        <f t="shared" si="13"/>
        <v>1706241</v>
      </c>
    </row>
    <row r="69" spans="1:6" x14ac:dyDescent="0.25">
      <c r="A69" s="130" t="s">
        <v>154</v>
      </c>
      <c r="B69" s="131">
        <v>35912501</v>
      </c>
      <c r="C69" s="131">
        <v>37424122</v>
      </c>
      <c r="D69" s="131">
        <v>-1511621</v>
      </c>
      <c r="E69" s="131">
        <v>1298517</v>
      </c>
      <c r="F69" s="131">
        <f t="shared" si="13"/>
        <v>-2810138</v>
      </c>
    </row>
    <row r="70" spans="1:6" x14ac:dyDescent="0.25">
      <c r="A70" s="124" t="s">
        <v>139</v>
      </c>
      <c r="B70" s="125">
        <f>SUM(B71:B73)</f>
        <v>13319000</v>
      </c>
      <c r="C70" s="125">
        <f t="shared" ref="C70:E70" si="14">SUM(C71:C73)</f>
        <v>13319000</v>
      </c>
      <c r="D70" s="125">
        <f t="shared" si="14"/>
        <v>0</v>
      </c>
      <c r="E70" s="125">
        <f t="shared" si="14"/>
        <v>0</v>
      </c>
      <c r="F70" s="125">
        <f t="shared" si="13"/>
        <v>0</v>
      </c>
    </row>
    <row r="71" spans="1:6" x14ac:dyDescent="0.25">
      <c r="A71" s="126" t="s">
        <v>152</v>
      </c>
      <c r="B71" s="127">
        <v>60894</v>
      </c>
      <c r="C71" s="127">
        <v>0</v>
      </c>
      <c r="D71" s="127">
        <v>60894</v>
      </c>
      <c r="E71" s="127">
        <v>0</v>
      </c>
      <c r="F71" s="127">
        <f t="shared" si="13"/>
        <v>60894</v>
      </c>
    </row>
    <row r="72" spans="1:6" x14ac:dyDescent="0.25">
      <c r="A72" s="130" t="s">
        <v>153</v>
      </c>
      <c r="B72" s="131">
        <v>2209623</v>
      </c>
      <c r="C72" s="131">
        <v>1565716</v>
      </c>
      <c r="D72" s="131">
        <v>643907</v>
      </c>
      <c r="E72" s="131">
        <v>0</v>
      </c>
      <c r="F72" s="131">
        <f t="shared" si="13"/>
        <v>643907</v>
      </c>
    </row>
    <row r="73" spans="1:6" x14ac:dyDescent="0.25">
      <c r="A73" s="130" t="s">
        <v>154</v>
      </c>
      <c r="B73" s="131">
        <v>11048483</v>
      </c>
      <c r="C73" s="131">
        <v>11753284</v>
      </c>
      <c r="D73" s="131">
        <v>-704801</v>
      </c>
      <c r="E73" s="131">
        <v>0</v>
      </c>
      <c r="F73" s="131">
        <f t="shared" si="13"/>
        <v>-704801</v>
      </c>
    </row>
    <row r="74" spans="1:6" x14ac:dyDescent="0.25">
      <c r="A74" s="124" t="s">
        <v>137</v>
      </c>
      <c r="B74" s="125">
        <f>SUM(B75:B77)</f>
        <v>46347773</v>
      </c>
      <c r="C74" s="125">
        <f t="shared" ref="C74:E74" si="15">SUM(C75:C77)</f>
        <v>43460933</v>
      </c>
      <c r="D74" s="125">
        <f t="shared" si="15"/>
        <v>2886840</v>
      </c>
      <c r="E74" s="125">
        <f t="shared" si="15"/>
        <v>733412</v>
      </c>
      <c r="F74" s="125">
        <f t="shared" si="13"/>
        <v>2153428</v>
      </c>
    </row>
    <row r="75" spans="1:6" x14ac:dyDescent="0.25">
      <c r="A75" s="126" t="s">
        <v>152</v>
      </c>
      <c r="B75" s="127">
        <v>289880</v>
      </c>
      <c r="C75" s="127">
        <v>50000</v>
      </c>
      <c r="D75" s="127">
        <v>239880</v>
      </c>
      <c r="E75" s="127">
        <v>50000</v>
      </c>
      <c r="F75" s="127">
        <f t="shared" si="13"/>
        <v>189880</v>
      </c>
    </row>
    <row r="76" spans="1:6" x14ac:dyDescent="0.25">
      <c r="A76" s="130" t="s">
        <v>153</v>
      </c>
      <c r="B76" s="131">
        <v>5874995</v>
      </c>
      <c r="C76" s="131">
        <v>4982377</v>
      </c>
      <c r="D76" s="131">
        <v>892618</v>
      </c>
      <c r="E76" s="131">
        <v>66105</v>
      </c>
      <c r="F76" s="131">
        <f t="shared" si="13"/>
        <v>826513</v>
      </c>
    </row>
    <row r="77" spans="1:6" x14ac:dyDescent="0.25">
      <c r="A77" s="130" t="s">
        <v>154</v>
      </c>
      <c r="B77" s="131">
        <v>40182898</v>
      </c>
      <c r="C77" s="131">
        <v>38428556</v>
      </c>
      <c r="D77" s="131">
        <v>1754342</v>
      </c>
      <c r="E77" s="131">
        <v>617307</v>
      </c>
      <c r="F77" s="131">
        <f t="shared" si="13"/>
        <v>1137035</v>
      </c>
    </row>
    <row r="78" spans="1:6" x14ac:dyDescent="0.25">
      <c r="A78" s="124" t="s">
        <v>168</v>
      </c>
      <c r="B78" s="125">
        <f>SUM(B79:B83)</f>
        <v>113542294</v>
      </c>
      <c r="C78" s="125">
        <f t="shared" ref="C78:E78" si="16">SUM(C79:C83)</f>
        <v>100605487</v>
      </c>
      <c r="D78" s="125">
        <f t="shared" si="16"/>
        <v>12936807</v>
      </c>
      <c r="E78" s="125">
        <f t="shared" si="16"/>
        <v>249268</v>
      </c>
      <c r="F78" s="125">
        <f t="shared" si="13"/>
        <v>12687539</v>
      </c>
    </row>
    <row r="79" spans="1:6" x14ac:dyDescent="0.25">
      <c r="A79" s="130" t="s">
        <v>162</v>
      </c>
      <c r="B79" s="131">
        <v>-79624</v>
      </c>
      <c r="C79" s="131">
        <v>329616</v>
      </c>
      <c r="D79" s="131">
        <v>-409240</v>
      </c>
      <c r="E79" s="131">
        <v>0</v>
      </c>
      <c r="F79" s="131">
        <f t="shared" si="13"/>
        <v>-409240</v>
      </c>
    </row>
    <row r="80" spans="1:6" x14ac:dyDescent="0.25">
      <c r="A80" s="130" t="s">
        <v>152</v>
      </c>
      <c r="B80" s="131">
        <v>107680359</v>
      </c>
      <c r="C80" s="131">
        <v>96715731</v>
      </c>
      <c r="D80" s="131">
        <v>10964628</v>
      </c>
      <c r="E80" s="131">
        <v>249268</v>
      </c>
      <c r="F80" s="131">
        <f t="shared" si="13"/>
        <v>10715360</v>
      </c>
    </row>
    <row r="81" spans="1:6" x14ac:dyDescent="0.25">
      <c r="A81" s="130" t="s">
        <v>169</v>
      </c>
      <c r="B81" s="131">
        <v>383223</v>
      </c>
      <c r="C81" s="131">
        <v>0</v>
      </c>
      <c r="D81" s="131">
        <v>383223</v>
      </c>
      <c r="E81" s="131">
        <v>0</v>
      </c>
      <c r="F81" s="131">
        <f t="shared" si="13"/>
        <v>383223</v>
      </c>
    </row>
    <row r="82" spans="1:6" x14ac:dyDescent="0.25">
      <c r="A82" s="130" t="s">
        <v>153</v>
      </c>
      <c r="B82" s="131">
        <v>884009</v>
      </c>
      <c r="C82" s="131">
        <v>448921</v>
      </c>
      <c r="D82" s="131">
        <v>435088</v>
      </c>
      <c r="E82" s="131">
        <v>0</v>
      </c>
      <c r="F82" s="131">
        <f t="shared" si="13"/>
        <v>435088</v>
      </c>
    </row>
    <row r="83" spans="1:6" x14ac:dyDescent="0.25">
      <c r="A83" s="130" t="s">
        <v>154</v>
      </c>
      <c r="B83" s="131">
        <v>4674327</v>
      </c>
      <c r="C83" s="131">
        <v>3111219</v>
      </c>
      <c r="D83" s="131">
        <v>1563108</v>
      </c>
      <c r="E83" s="131">
        <v>0</v>
      </c>
      <c r="F83" s="131">
        <f t="shared" si="13"/>
        <v>1563108</v>
      </c>
    </row>
    <row r="84" spans="1:6" x14ac:dyDescent="0.25">
      <c r="A84" s="124" t="s">
        <v>119</v>
      </c>
      <c r="B84" s="125">
        <f>SUM(B85:B89)</f>
        <v>52021272</v>
      </c>
      <c r="C84" s="125">
        <f>SUM(C85:C89)</f>
        <v>49752826</v>
      </c>
      <c r="D84" s="125">
        <f>SUM(D85:D89)</f>
        <v>2268446</v>
      </c>
      <c r="E84" s="125">
        <f>SUM(E85:E89)</f>
        <v>1487547</v>
      </c>
      <c r="F84" s="125">
        <f t="shared" si="13"/>
        <v>780899</v>
      </c>
    </row>
    <row r="85" spans="1:6" x14ac:dyDescent="0.25">
      <c r="A85" s="126" t="s">
        <v>162</v>
      </c>
      <c r="B85" s="127">
        <v>715179</v>
      </c>
      <c r="C85" s="127">
        <v>2025650</v>
      </c>
      <c r="D85" s="127">
        <v>-1310471</v>
      </c>
      <c r="E85" s="127">
        <v>0</v>
      </c>
      <c r="F85" s="127">
        <f t="shared" si="13"/>
        <v>-1310471</v>
      </c>
    </row>
    <row r="86" spans="1:6" x14ac:dyDescent="0.25">
      <c r="A86" s="126" t="s">
        <v>152</v>
      </c>
      <c r="B86" s="127">
        <v>6013484</v>
      </c>
      <c r="C86" s="127">
        <v>3790049</v>
      </c>
      <c r="D86" s="127">
        <v>2223435</v>
      </c>
      <c r="E86" s="127">
        <f>180221-35741</f>
        <v>144480</v>
      </c>
      <c r="F86" s="127">
        <f t="shared" si="13"/>
        <v>2078955</v>
      </c>
    </row>
    <row r="87" spans="1:6" x14ac:dyDescent="0.25">
      <c r="A87" s="126" t="s">
        <v>165</v>
      </c>
      <c r="B87" s="127">
        <v>-292253</v>
      </c>
      <c r="C87" s="127">
        <v>219166</v>
      </c>
      <c r="D87" s="127">
        <v>-511419</v>
      </c>
      <c r="E87" s="127">
        <v>0</v>
      </c>
      <c r="F87" s="127">
        <f t="shared" si="13"/>
        <v>-511419</v>
      </c>
    </row>
    <row r="88" spans="1:6" x14ac:dyDescent="0.25">
      <c r="A88" s="130" t="s">
        <v>153</v>
      </c>
      <c r="B88" s="131">
        <v>6025324</v>
      </c>
      <c r="C88" s="131">
        <v>4855379</v>
      </c>
      <c r="D88" s="131">
        <v>1169945</v>
      </c>
      <c r="E88" s="131">
        <v>109045</v>
      </c>
      <c r="F88" s="131">
        <f t="shared" si="13"/>
        <v>1060900</v>
      </c>
    </row>
    <row r="89" spans="1:6" x14ac:dyDescent="0.25">
      <c r="A89" s="130" t="s">
        <v>154</v>
      </c>
      <c r="B89" s="131">
        <v>39559538</v>
      </c>
      <c r="C89" s="131">
        <v>38862582</v>
      </c>
      <c r="D89" s="131">
        <v>696956</v>
      </c>
      <c r="E89" s="131">
        <v>1234022</v>
      </c>
      <c r="F89" s="131">
        <f t="shared" si="13"/>
        <v>-537066</v>
      </c>
    </row>
    <row r="90" spans="1:6" x14ac:dyDescent="0.25">
      <c r="A90" s="124" t="s">
        <v>120</v>
      </c>
      <c r="B90" s="125">
        <f>SUM(B91:B93)</f>
        <v>34129546</v>
      </c>
      <c r="C90" s="125">
        <f t="shared" ref="C90:E90" si="17">SUM(C91:C93)</f>
        <v>30173612</v>
      </c>
      <c r="D90" s="125">
        <f t="shared" si="17"/>
        <v>3955934</v>
      </c>
      <c r="E90" s="125">
        <f t="shared" si="17"/>
        <v>42900</v>
      </c>
      <c r="F90" s="125">
        <f t="shared" si="13"/>
        <v>3913034</v>
      </c>
    </row>
    <row r="91" spans="1:6" x14ac:dyDescent="0.25">
      <c r="A91" s="126" t="s">
        <v>152</v>
      </c>
      <c r="B91" s="127">
        <f>685791-452535</f>
        <v>233256</v>
      </c>
      <c r="C91" s="127">
        <v>0</v>
      </c>
      <c r="D91" s="127">
        <f>685791-452535</f>
        <v>233256</v>
      </c>
      <c r="E91" s="127">
        <v>0</v>
      </c>
      <c r="F91" s="127">
        <f t="shared" si="13"/>
        <v>233256</v>
      </c>
    </row>
    <row r="92" spans="1:6" x14ac:dyDescent="0.25">
      <c r="A92" s="130" t="s">
        <v>153</v>
      </c>
      <c r="B92" s="131">
        <v>4559265</v>
      </c>
      <c r="C92" s="131">
        <v>3497521</v>
      </c>
      <c r="D92" s="131">
        <v>1061744</v>
      </c>
      <c r="E92" s="131">
        <v>0</v>
      </c>
      <c r="F92" s="131">
        <f t="shared" si="13"/>
        <v>1061744</v>
      </c>
    </row>
    <row r="93" spans="1:6" x14ac:dyDescent="0.25">
      <c r="A93" s="130" t="s">
        <v>154</v>
      </c>
      <c r="B93" s="131">
        <v>29337025</v>
      </c>
      <c r="C93" s="131">
        <v>26676091</v>
      </c>
      <c r="D93" s="131">
        <v>2660934</v>
      </c>
      <c r="E93" s="131">
        <v>42900</v>
      </c>
      <c r="F93" s="131">
        <f t="shared" si="13"/>
        <v>2618034</v>
      </c>
    </row>
    <row r="94" spans="1:6" x14ac:dyDescent="0.25">
      <c r="A94" s="185" t="s">
        <v>49</v>
      </c>
      <c r="B94" s="184">
        <f t="shared" ref="B94:E94" si="18">+B90+B84+B78+B74+B70+B66+B59+B55+B53+B49+B45+B41+B37+B33+B29+B25+B21+B16+B11+B7</f>
        <v>765723950</v>
      </c>
      <c r="C94" s="184">
        <f t="shared" si="18"/>
        <v>677585949</v>
      </c>
      <c r="D94" s="184">
        <f t="shared" si="18"/>
        <v>88138001</v>
      </c>
      <c r="E94" s="184">
        <f t="shared" si="18"/>
        <v>33840755</v>
      </c>
      <c r="F94" s="184">
        <f>+F90+F84+F78+F74+F70+F66+F59+F55+F53+F49+F45+F41+F37+F33+F29+F25+F21+F16+F11+F7</f>
        <v>54297246</v>
      </c>
    </row>
  </sheetData>
  <mergeCells count="3">
    <mergeCell ref="A1:F2"/>
    <mergeCell ref="A4:B4"/>
    <mergeCell ref="C4:F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0"/>
  <sheetViews>
    <sheetView workbookViewId="0">
      <selection activeCell="D34" sqref="D34"/>
    </sheetView>
  </sheetViews>
  <sheetFormatPr defaultRowHeight="13.2" x14ac:dyDescent="0.25"/>
  <cols>
    <col min="1" max="1" width="19.33203125" bestFit="1" customWidth="1"/>
    <col min="2" max="4" width="13.6640625" customWidth="1"/>
  </cols>
  <sheetData>
    <row r="1" spans="1:4" s="4" customFormat="1" x14ac:dyDescent="0.25">
      <c r="A1" s="292" t="s">
        <v>250</v>
      </c>
      <c r="B1" s="292"/>
      <c r="C1" s="292"/>
      <c r="D1" s="292"/>
    </row>
    <row r="2" spans="1:4" ht="13.8" thickBot="1" x14ac:dyDescent="0.3"/>
    <row r="3" spans="1:4" ht="13.8" thickBot="1" x14ac:dyDescent="0.3">
      <c r="A3" s="28" t="s">
        <v>42</v>
      </c>
      <c r="B3" s="37" t="s">
        <v>43</v>
      </c>
      <c r="C3" s="37" t="s">
        <v>44</v>
      </c>
      <c r="D3" s="38" t="s">
        <v>34</v>
      </c>
    </row>
    <row r="4" spans="1:4" x14ac:dyDescent="0.25">
      <c r="A4" s="43">
        <v>2022</v>
      </c>
      <c r="B4" s="44">
        <v>13788459</v>
      </c>
      <c r="C4" s="45">
        <f>SUM(C5:C9)</f>
        <v>11236729</v>
      </c>
      <c r="D4" s="39"/>
    </row>
    <row r="5" spans="1:4" x14ac:dyDescent="0.25">
      <c r="A5" s="29" t="s">
        <v>45</v>
      </c>
      <c r="B5" s="30">
        <v>7679</v>
      </c>
      <c r="C5" s="40">
        <v>0</v>
      </c>
      <c r="D5" s="41">
        <f>+B5-C5</f>
        <v>7679</v>
      </c>
    </row>
    <row r="6" spans="1:4" x14ac:dyDescent="0.25">
      <c r="A6" s="29" t="s">
        <v>46</v>
      </c>
      <c r="B6" s="30">
        <v>1262706</v>
      </c>
      <c r="C6" s="329">
        <v>7000000</v>
      </c>
      <c r="D6" s="330">
        <f>+B6+B7-C6</f>
        <v>-2198794</v>
      </c>
    </row>
    <row r="7" spans="1:4" x14ac:dyDescent="0.25">
      <c r="A7" s="29" t="s">
        <v>47</v>
      </c>
      <c r="B7" s="31">
        <v>3538500</v>
      </c>
      <c r="C7" s="329"/>
      <c r="D7" s="330"/>
    </row>
    <row r="8" spans="1:4" x14ac:dyDescent="0.25">
      <c r="A8" s="32" t="s">
        <v>48</v>
      </c>
      <c r="B8" s="33">
        <v>6381722</v>
      </c>
      <c r="C8" s="33">
        <v>2470135</v>
      </c>
      <c r="D8" s="42">
        <f t="shared" ref="D8:D10" si="0">+B8-C8</f>
        <v>3911587</v>
      </c>
    </row>
    <row r="9" spans="1:4" ht="13.8" thickBot="1" x14ac:dyDescent="0.3">
      <c r="A9" s="32" t="s">
        <v>41</v>
      </c>
      <c r="B9" s="33">
        <v>2597852</v>
      </c>
      <c r="C9" s="33">
        <v>1766594</v>
      </c>
      <c r="D9" s="42">
        <f t="shared" si="0"/>
        <v>831258</v>
      </c>
    </row>
    <row r="10" spans="1:4" ht="13.8" thickBot="1" x14ac:dyDescent="0.3">
      <c r="A10" s="34" t="s">
        <v>49</v>
      </c>
      <c r="B10" s="35">
        <f>SUM(B5:B9)</f>
        <v>13788459</v>
      </c>
      <c r="C10" s="35">
        <f>SUM(C5:C9)</f>
        <v>11236729</v>
      </c>
      <c r="D10" s="36">
        <f t="shared" si="0"/>
        <v>2551730</v>
      </c>
    </row>
  </sheetData>
  <mergeCells count="3">
    <mergeCell ref="C6:C7"/>
    <mergeCell ref="D6:D7"/>
    <mergeCell ref="A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2"/>
  <sheetViews>
    <sheetView topLeftCell="A7" workbookViewId="0">
      <selection activeCell="I36" sqref="I36"/>
    </sheetView>
  </sheetViews>
  <sheetFormatPr defaultRowHeight="13.2" x14ac:dyDescent="0.25"/>
  <cols>
    <col min="1" max="1" width="32.88671875" bestFit="1" customWidth="1"/>
    <col min="2" max="2" width="15.6640625" customWidth="1"/>
    <col min="3" max="5" width="12.6640625" customWidth="1"/>
    <col min="6" max="6" width="11.109375" bestFit="1" customWidth="1"/>
    <col min="7" max="7" width="13.88671875" bestFit="1" customWidth="1"/>
    <col min="8" max="9" width="11.109375" bestFit="1" customWidth="1"/>
    <col min="10" max="10" width="10.5546875" bestFit="1" customWidth="1"/>
    <col min="11" max="11" width="15.6640625" customWidth="1"/>
    <col min="12" max="14" width="12.6640625" customWidth="1"/>
    <col min="15" max="16" width="10.109375" bestFit="1" customWidth="1"/>
    <col min="19" max="19" width="10.109375" bestFit="1" customWidth="1"/>
  </cols>
  <sheetData>
    <row r="1" spans="1:17" ht="15" thickBot="1" x14ac:dyDescent="0.3">
      <c r="A1" s="332" t="s">
        <v>50</v>
      </c>
      <c r="B1" s="333"/>
      <c r="C1" s="333"/>
      <c r="D1" s="333"/>
      <c r="E1" s="334"/>
      <c r="F1" s="46" t="s">
        <v>40</v>
      </c>
    </row>
    <row r="2" spans="1:17" ht="28.8" x14ac:dyDescent="0.25">
      <c r="A2" s="47"/>
      <c r="B2" s="48" t="s">
        <v>51</v>
      </c>
      <c r="C2" s="48" t="s">
        <v>52</v>
      </c>
      <c r="D2" s="48" t="s">
        <v>53</v>
      </c>
      <c r="E2" s="190" t="s">
        <v>54</v>
      </c>
      <c r="F2" s="50" t="s">
        <v>0</v>
      </c>
      <c r="I2" s="3"/>
      <c r="J2" s="3"/>
    </row>
    <row r="3" spans="1:17" s="1" customFormat="1" ht="14.4" x14ac:dyDescent="0.25">
      <c r="A3" s="61" t="s">
        <v>55</v>
      </c>
      <c r="B3" s="62">
        <v>585274320</v>
      </c>
      <c r="C3" s="62">
        <v>242415481</v>
      </c>
      <c r="D3" s="62">
        <v>9883593</v>
      </c>
      <c r="E3" s="191">
        <v>352742432</v>
      </c>
      <c r="F3" s="194">
        <v>352742432</v>
      </c>
    </row>
    <row r="4" spans="1:17" ht="14.4" customHeight="1" x14ac:dyDescent="0.25">
      <c r="A4" s="59" t="s">
        <v>56</v>
      </c>
      <c r="B4" s="27">
        <v>614173600</v>
      </c>
      <c r="C4" s="27">
        <v>241805111</v>
      </c>
      <c r="D4" s="27">
        <f>9565501+274804+261799+149579</f>
        <v>10251683</v>
      </c>
      <c r="E4" s="187">
        <f>+B4-C4+D4</f>
        <v>382620172</v>
      </c>
      <c r="F4" s="195">
        <f>+E4-1</f>
        <v>382620171</v>
      </c>
      <c r="I4" s="210"/>
      <c r="J4" s="210"/>
      <c r="K4" s="210"/>
      <c r="L4" s="210"/>
      <c r="M4" s="210"/>
      <c r="N4" s="210"/>
      <c r="O4" s="210"/>
      <c r="P4" s="210"/>
      <c r="Q4" s="210"/>
    </row>
    <row r="5" spans="1:17" s="4" customFormat="1" ht="14.4" x14ac:dyDescent="0.25">
      <c r="A5" s="60" t="s">
        <v>62</v>
      </c>
      <c r="B5" s="68">
        <v>613875509</v>
      </c>
      <c r="C5" s="68">
        <v>224883159</v>
      </c>
      <c r="D5" s="68">
        <v>12069236</v>
      </c>
      <c r="E5" s="192">
        <f>+B5-C5+D5</f>
        <v>401061586</v>
      </c>
      <c r="F5" s="196">
        <f>+E5</f>
        <v>401061586</v>
      </c>
      <c r="I5" s="210"/>
      <c r="J5" s="210"/>
      <c r="K5" s="210"/>
      <c r="L5" s="210"/>
      <c r="M5" s="210"/>
      <c r="N5" s="210"/>
      <c r="O5" s="210"/>
      <c r="P5" s="210"/>
      <c r="Q5" s="210"/>
    </row>
    <row r="6" spans="1:17" s="4" customFormat="1" ht="15" thickBot="1" x14ac:dyDescent="0.3">
      <c r="A6" s="72" t="s">
        <v>63</v>
      </c>
      <c r="B6" s="69">
        <v>601948080</v>
      </c>
      <c r="C6" s="69">
        <v>211109500</v>
      </c>
      <c r="D6" s="69">
        <v>11467919</v>
      </c>
      <c r="E6" s="193">
        <f>+B6-C6+D6</f>
        <v>402306499</v>
      </c>
      <c r="F6" s="189">
        <f>+E6</f>
        <v>402306499</v>
      </c>
      <c r="I6" s="210"/>
      <c r="J6" s="210"/>
      <c r="K6" s="210"/>
      <c r="L6" s="210"/>
      <c r="M6" s="210"/>
      <c r="N6" s="210"/>
      <c r="O6" s="210"/>
      <c r="P6" s="210"/>
      <c r="Q6" s="210"/>
    </row>
    <row r="7" spans="1:17" ht="15" thickBot="1" x14ac:dyDescent="0.3">
      <c r="A7" s="332" t="s">
        <v>232</v>
      </c>
      <c r="B7" s="333"/>
      <c r="C7" s="333"/>
      <c r="D7" s="333"/>
      <c r="E7" s="335"/>
      <c r="F7" s="53">
        <f>+F6-F5</f>
        <v>1244913</v>
      </c>
      <c r="I7" s="210"/>
      <c r="J7" s="210"/>
      <c r="K7" s="210"/>
      <c r="L7" s="210"/>
      <c r="M7" s="210"/>
      <c r="N7" s="210"/>
      <c r="O7" s="210"/>
      <c r="P7" s="210"/>
      <c r="Q7" s="210"/>
    </row>
    <row r="8" spans="1:17" s="65" customFormat="1" ht="14.4" x14ac:dyDescent="0.25">
      <c r="A8" s="67" t="s">
        <v>64</v>
      </c>
      <c r="B8" s="66"/>
      <c r="C8" s="66"/>
      <c r="D8" s="66"/>
      <c r="E8" s="66"/>
      <c r="F8" s="66"/>
      <c r="I8" s="210"/>
      <c r="J8" s="210"/>
      <c r="K8" s="210"/>
      <c r="L8" s="210"/>
      <c r="M8" s="210"/>
      <c r="N8" s="210"/>
      <c r="O8" s="210"/>
      <c r="P8" s="210"/>
      <c r="Q8" s="210"/>
    </row>
    <row r="9" spans="1:17" s="65" customFormat="1" ht="14.4" x14ac:dyDescent="0.25">
      <c r="A9" s="63"/>
      <c r="B9" s="63"/>
      <c r="C9" s="63"/>
      <c r="D9" s="63"/>
      <c r="E9" s="63"/>
      <c r="F9" s="64"/>
      <c r="I9" s="210"/>
      <c r="J9" s="210"/>
      <c r="K9" s="210"/>
      <c r="L9" s="210"/>
      <c r="M9" s="210"/>
      <c r="N9" s="210"/>
      <c r="O9" s="210"/>
      <c r="P9" s="210"/>
      <c r="Q9" s="210"/>
    </row>
    <row r="10" spans="1:17" ht="16.2" thickBot="1" x14ac:dyDescent="0.3">
      <c r="A10" s="23"/>
      <c r="B10" s="23"/>
      <c r="C10" s="23"/>
      <c r="D10" s="23"/>
      <c r="E10" s="23"/>
      <c r="F10" s="51"/>
      <c r="I10" s="210"/>
      <c r="J10" s="210"/>
      <c r="K10" s="210"/>
      <c r="L10" s="210"/>
      <c r="M10" s="210"/>
      <c r="N10" s="210"/>
      <c r="O10" s="210"/>
      <c r="P10" s="210"/>
      <c r="Q10" s="210"/>
    </row>
    <row r="11" spans="1:17" ht="15" thickBot="1" x14ac:dyDescent="0.3">
      <c r="A11" s="332" t="s">
        <v>57</v>
      </c>
      <c r="B11" s="333"/>
      <c r="C11" s="333"/>
      <c r="D11" s="333"/>
      <c r="E11" s="333"/>
      <c r="F11" s="46" t="s">
        <v>40</v>
      </c>
      <c r="I11" s="210"/>
      <c r="J11" s="210"/>
      <c r="K11" s="210"/>
      <c r="L11" s="210"/>
      <c r="M11" s="210"/>
      <c r="N11" s="210"/>
      <c r="O11" s="210"/>
      <c r="P11" s="210"/>
      <c r="Q11" s="210"/>
    </row>
    <row r="12" spans="1:17" ht="28.8" x14ac:dyDescent="0.25">
      <c r="A12" s="47"/>
      <c r="B12" s="48" t="s">
        <v>51</v>
      </c>
      <c r="C12" s="48" t="s">
        <v>52</v>
      </c>
      <c r="D12" s="48" t="s">
        <v>53</v>
      </c>
      <c r="E12" s="49" t="s">
        <v>54</v>
      </c>
      <c r="F12" s="50" t="s">
        <v>0</v>
      </c>
    </row>
    <row r="13" spans="1:17" s="1" customFormat="1" ht="14.4" x14ac:dyDescent="0.25">
      <c r="A13" s="61" t="s">
        <v>55</v>
      </c>
      <c r="B13" s="62">
        <v>76785000</v>
      </c>
      <c r="C13" s="62">
        <v>31337356</v>
      </c>
      <c r="D13" s="62">
        <v>8477528</v>
      </c>
      <c r="E13" s="191">
        <v>53925172</v>
      </c>
      <c r="F13" s="197">
        <v>53925172</v>
      </c>
    </row>
    <row r="14" spans="1:17" ht="14.4" customHeight="1" x14ac:dyDescent="0.25">
      <c r="A14" s="61" t="s">
        <v>58</v>
      </c>
      <c r="B14" s="27">
        <v>63052600</v>
      </c>
      <c r="C14" s="27">
        <v>18774349</v>
      </c>
      <c r="D14" s="27">
        <f>6857806+16664</f>
        <v>6874470</v>
      </c>
      <c r="E14" s="187">
        <f>+B14-C14+D14</f>
        <v>51152721</v>
      </c>
      <c r="F14" s="195">
        <f>+E14</f>
        <v>51152721</v>
      </c>
      <c r="I14" s="331"/>
      <c r="J14" s="331"/>
      <c r="K14" s="331"/>
      <c r="L14" s="331"/>
      <c r="M14" s="331"/>
      <c r="N14" s="331"/>
      <c r="O14" s="331"/>
      <c r="P14" s="331"/>
      <c r="Q14" s="331"/>
    </row>
    <row r="15" spans="1:17" s="4" customFormat="1" ht="14.4" x14ac:dyDescent="0.25">
      <c r="A15" s="186" t="s">
        <v>62</v>
      </c>
      <c r="B15" s="27">
        <v>63565000.000002198</v>
      </c>
      <c r="C15" s="27">
        <v>9687299.0856844205</v>
      </c>
      <c r="D15" s="27">
        <v>5289526.1987929475</v>
      </c>
      <c r="E15" s="187">
        <f t="shared" ref="E15:E16" si="0">+B15-C15+D15</f>
        <v>59167227.113110729</v>
      </c>
      <c r="F15" s="188">
        <f>+E15</f>
        <v>59167227.113110729</v>
      </c>
      <c r="I15" s="331"/>
      <c r="J15" s="331"/>
      <c r="K15" s="331"/>
      <c r="L15" s="331"/>
      <c r="M15" s="331"/>
      <c r="N15" s="331"/>
      <c r="O15" s="331"/>
      <c r="P15" s="331"/>
      <c r="Q15" s="331"/>
    </row>
    <row r="16" spans="1:17" s="4" customFormat="1" ht="15" thickBot="1" x14ac:dyDescent="0.3">
      <c r="A16" s="198" t="s">
        <v>63</v>
      </c>
      <c r="B16" s="52">
        <v>59510000</v>
      </c>
      <c r="C16" s="52">
        <v>10151581</v>
      </c>
      <c r="D16" s="52">
        <v>6639928</v>
      </c>
      <c r="E16" s="199">
        <f t="shared" si="0"/>
        <v>55998347</v>
      </c>
      <c r="F16" s="189">
        <f>+E16</f>
        <v>55998347</v>
      </c>
    </row>
    <row r="17" spans="1:19" ht="15" thickBot="1" x14ac:dyDescent="0.3">
      <c r="A17" s="332" t="s">
        <v>65</v>
      </c>
      <c r="B17" s="333"/>
      <c r="C17" s="333"/>
      <c r="D17" s="333"/>
      <c r="E17" s="335"/>
      <c r="F17" s="53">
        <f>+F16-F15</f>
        <v>-3168880.1131107286</v>
      </c>
    </row>
    <row r="18" spans="1:19" ht="16.2" thickBot="1" x14ac:dyDescent="0.3">
      <c r="A18" s="23"/>
      <c r="B18" s="23"/>
      <c r="C18" s="23"/>
      <c r="D18" s="23"/>
      <c r="E18" s="23"/>
      <c r="F18" s="51"/>
    </row>
    <row r="19" spans="1:19" ht="29.4" customHeight="1" thickBot="1" x14ac:dyDescent="0.3">
      <c r="A19" s="54"/>
      <c r="B19" s="55"/>
      <c r="C19" s="56" t="s">
        <v>233</v>
      </c>
      <c r="D19" s="336" t="s">
        <v>59</v>
      </c>
      <c r="E19" s="336"/>
      <c r="F19" s="46" t="s">
        <v>40</v>
      </c>
      <c r="I19" s="210"/>
      <c r="J19" s="210"/>
      <c r="K19" s="210"/>
      <c r="L19" s="210"/>
      <c r="M19" s="210"/>
      <c r="N19" s="210"/>
      <c r="O19" s="210"/>
      <c r="P19" s="210"/>
      <c r="Q19" s="210"/>
    </row>
    <row r="20" spans="1:19" ht="28.8" x14ac:dyDescent="0.25">
      <c r="A20" s="57"/>
      <c r="B20" s="48" t="s">
        <v>51</v>
      </c>
      <c r="C20" s="49" t="s">
        <v>53</v>
      </c>
      <c r="D20" s="49" t="s">
        <v>52</v>
      </c>
      <c r="E20" s="49" t="s">
        <v>53</v>
      </c>
      <c r="F20" s="50" t="s">
        <v>60</v>
      </c>
      <c r="I20" s="210"/>
      <c r="J20" s="210"/>
      <c r="K20" s="210"/>
      <c r="L20" s="210"/>
      <c r="M20" s="210"/>
      <c r="N20" s="210"/>
      <c r="O20" s="210"/>
      <c r="P20" s="210"/>
      <c r="Q20" s="210"/>
    </row>
    <row r="21" spans="1:19" ht="14.4" x14ac:dyDescent="0.25">
      <c r="A21" s="58" t="s">
        <v>55</v>
      </c>
      <c r="B21" s="70"/>
      <c r="C21" s="62">
        <v>6267101</v>
      </c>
      <c r="D21" s="191">
        <v>549976</v>
      </c>
      <c r="E21" s="191"/>
      <c r="F21" s="197">
        <f>+C21-D21+E21</f>
        <v>5717125</v>
      </c>
      <c r="I21" s="210"/>
      <c r="J21" s="210"/>
      <c r="K21" s="210"/>
      <c r="L21" s="210"/>
      <c r="M21" s="210"/>
      <c r="N21" s="210"/>
      <c r="O21" s="210"/>
      <c r="P21" s="210"/>
      <c r="Q21" s="210"/>
    </row>
    <row r="22" spans="1:19" ht="14.4" x14ac:dyDescent="0.25">
      <c r="A22" s="200" t="s">
        <v>61</v>
      </c>
      <c r="B22" s="70"/>
      <c r="C22" s="27">
        <v>4257061</v>
      </c>
      <c r="D22" s="27">
        <v>577957</v>
      </c>
      <c r="E22" s="187">
        <v>133769</v>
      </c>
      <c r="F22" s="195">
        <f t="shared" ref="F22:F24" si="1">+C22-D22+E22</f>
        <v>3812873</v>
      </c>
      <c r="I22" s="210"/>
      <c r="J22" s="210"/>
      <c r="K22" s="210"/>
      <c r="L22" s="210"/>
      <c r="M22" s="210"/>
      <c r="N22" s="210"/>
      <c r="O22" s="210"/>
      <c r="P22" s="210"/>
      <c r="Q22" s="210"/>
    </row>
    <row r="23" spans="1:19" s="4" customFormat="1" ht="14.4" x14ac:dyDescent="0.25">
      <c r="A23" s="186" t="s">
        <v>62</v>
      </c>
      <c r="B23" s="70"/>
      <c r="C23" s="27">
        <v>5239256</v>
      </c>
      <c r="D23" s="27">
        <v>570048</v>
      </c>
      <c r="E23" s="187"/>
      <c r="F23" s="195">
        <f t="shared" si="1"/>
        <v>4669208</v>
      </c>
      <c r="I23" s="210"/>
      <c r="J23" s="210"/>
      <c r="K23" s="210"/>
      <c r="L23" s="210"/>
      <c r="M23" s="210"/>
      <c r="N23" s="210"/>
      <c r="O23" s="210"/>
      <c r="P23" s="210"/>
      <c r="Q23" s="210"/>
    </row>
    <row r="24" spans="1:19" s="4" customFormat="1" ht="15" thickBot="1" x14ac:dyDescent="0.3">
      <c r="A24" s="198" t="s">
        <v>63</v>
      </c>
      <c r="B24" s="71"/>
      <c r="C24" s="52">
        <v>3551718</v>
      </c>
      <c r="D24" s="52">
        <v>672686</v>
      </c>
      <c r="E24" s="199"/>
      <c r="F24" s="201">
        <f t="shared" si="1"/>
        <v>2879032</v>
      </c>
      <c r="I24" s="210"/>
      <c r="J24" s="210"/>
      <c r="K24" s="210"/>
      <c r="L24" s="210"/>
      <c r="M24" s="210"/>
      <c r="N24" s="210"/>
      <c r="O24" s="210"/>
      <c r="P24" s="210"/>
      <c r="Q24" s="210"/>
    </row>
    <row r="25" spans="1:19" ht="15" thickBot="1" x14ac:dyDescent="0.3">
      <c r="A25" s="332" t="s">
        <v>232</v>
      </c>
      <c r="B25" s="333"/>
      <c r="C25" s="333"/>
      <c r="D25" s="333"/>
      <c r="E25" s="333"/>
      <c r="F25" s="53">
        <f>+F24-F23</f>
        <v>-1790176</v>
      </c>
      <c r="I25" s="210"/>
      <c r="J25" s="210"/>
      <c r="K25" s="210"/>
      <c r="L25" s="210"/>
      <c r="M25" s="210"/>
      <c r="N25" s="210"/>
      <c r="O25" s="210"/>
      <c r="P25" s="210"/>
      <c r="Q25" s="210"/>
    </row>
    <row r="28" spans="1:19" x14ac:dyDescent="0.25">
      <c r="G28" s="1"/>
      <c r="M28" s="1"/>
    </row>
    <row r="29" spans="1:19" ht="13.8" thickBot="1" x14ac:dyDescent="0.3">
      <c r="B29" t="s">
        <v>72</v>
      </c>
      <c r="N29" s="1" t="s">
        <v>74</v>
      </c>
      <c r="O29" s="1" t="s">
        <v>40</v>
      </c>
    </row>
    <row r="30" spans="1:19" ht="13.8" thickBot="1" x14ac:dyDescent="0.3">
      <c r="A30" s="4"/>
      <c r="B30" s="211" t="s">
        <v>251</v>
      </c>
      <c r="C30" s="214" t="s">
        <v>252</v>
      </c>
      <c r="D30" s="214" t="s">
        <v>253</v>
      </c>
      <c r="E30" s="214" t="s">
        <v>254</v>
      </c>
      <c r="G30" s="73" t="s">
        <v>66</v>
      </c>
      <c r="H30" s="3">
        <f t="shared" ref="H30:H35" si="2">+C31+D31+E31</f>
        <v>1718807</v>
      </c>
      <c r="I30" s="4"/>
      <c r="J30" s="4"/>
      <c r="K30" s="221" t="s">
        <v>255</v>
      </c>
      <c r="L30" s="214" t="s">
        <v>252</v>
      </c>
      <c r="M30" s="224" t="s">
        <v>253</v>
      </c>
      <c r="N30" s="214" t="s">
        <v>256</v>
      </c>
      <c r="O30" s="1" t="s">
        <v>73</v>
      </c>
      <c r="Q30" s="73" t="s">
        <v>66</v>
      </c>
      <c r="R30" s="75">
        <f>+S30/$S$34</f>
        <v>0.43137440030530627</v>
      </c>
      <c r="S30" s="74">
        <v>9343381</v>
      </c>
    </row>
    <row r="31" spans="1:19" x14ac:dyDescent="0.25">
      <c r="A31" s="4"/>
      <c r="B31" s="212" t="s">
        <v>66</v>
      </c>
      <c r="C31" s="215">
        <v>1548499</v>
      </c>
      <c r="D31" s="215">
        <v>170308</v>
      </c>
      <c r="E31" s="215"/>
      <c r="G31" s="73" t="s">
        <v>67</v>
      </c>
      <c r="H31" s="3">
        <f t="shared" si="2"/>
        <v>180257666</v>
      </c>
      <c r="I31" s="4"/>
      <c r="J31" s="4"/>
      <c r="K31" s="222" t="s">
        <v>66</v>
      </c>
      <c r="L31" s="215">
        <v>3939618</v>
      </c>
      <c r="M31" s="215">
        <v>5403763</v>
      </c>
      <c r="N31" s="215"/>
      <c r="O31" s="3">
        <f>+L31+M31+N31</f>
        <v>9343381</v>
      </c>
      <c r="Q31" s="73" t="s">
        <v>67</v>
      </c>
      <c r="R31" s="75">
        <f t="shared" ref="R31:R33" si="3">+S31/$S$34</f>
        <v>0.10826123315599673</v>
      </c>
      <c r="S31" s="74">
        <v>2344891</v>
      </c>
    </row>
    <row r="32" spans="1:19" x14ac:dyDescent="0.25">
      <c r="A32" s="4"/>
      <c r="B32" s="213" t="s">
        <v>67</v>
      </c>
      <c r="C32" s="216">
        <v>173334098</v>
      </c>
      <c r="D32" s="216">
        <v>6218882</v>
      </c>
      <c r="E32" s="216">
        <v>704686</v>
      </c>
      <c r="G32" s="73" t="s">
        <v>68</v>
      </c>
      <c r="H32" s="3">
        <f t="shared" si="2"/>
        <v>4753628</v>
      </c>
      <c r="I32" s="4"/>
      <c r="J32" s="4"/>
      <c r="K32" s="222" t="s">
        <v>67</v>
      </c>
      <c r="L32" s="215">
        <f>2240894+8313</f>
        <v>2249207</v>
      </c>
      <c r="M32" s="215">
        <v>95684</v>
      </c>
      <c r="N32" s="215"/>
      <c r="O32" s="3">
        <f t="shared" ref="O32:O34" si="4">+L32+M32+N32</f>
        <v>2344891</v>
      </c>
      <c r="Q32" s="73" t="s">
        <v>68</v>
      </c>
      <c r="R32" s="75">
        <f t="shared" si="3"/>
        <v>0.45959477575794117</v>
      </c>
      <c r="S32" s="74">
        <v>9954622</v>
      </c>
    </row>
    <row r="33" spans="1:19" x14ac:dyDescent="0.25">
      <c r="A33" s="4"/>
      <c r="B33" s="213" t="s">
        <v>68</v>
      </c>
      <c r="C33" s="216">
        <v>3362375</v>
      </c>
      <c r="D33" s="216">
        <v>1391253</v>
      </c>
      <c r="E33" s="216"/>
      <c r="G33" s="73" t="s">
        <v>69</v>
      </c>
      <c r="H33" s="3">
        <f t="shared" si="2"/>
        <v>16669</v>
      </c>
      <c r="I33" s="4"/>
      <c r="J33" s="4"/>
      <c r="K33" s="222" t="s">
        <v>68</v>
      </c>
      <c r="L33" s="215">
        <v>5262423</v>
      </c>
      <c r="M33" s="215">
        <v>1140481</v>
      </c>
      <c r="N33" s="215">
        <v>3551718</v>
      </c>
      <c r="O33" s="3">
        <f t="shared" si="4"/>
        <v>9954622</v>
      </c>
      <c r="Q33" s="73" t="s">
        <v>69</v>
      </c>
      <c r="R33" s="75">
        <f t="shared" si="3"/>
        <v>7.6959078075582599E-4</v>
      </c>
      <c r="S33" s="74">
        <v>16669</v>
      </c>
    </row>
    <row r="34" spans="1:19" ht="13.8" thickBot="1" x14ac:dyDescent="0.3">
      <c r="A34" s="4"/>
      <c r="B34" s="213" t="s">
        <v>69</v>
      </c>
      <c r="C34" s="216">
        <v>16669</v>
      </c>
      <c r="D34" s="216"/>
      <c r="E34" s="216"/>
      <c r="G34" s="73" t="s">
        <v>71</v>
      </c>
      <c r="H34" s="3">
        <f t="shared" si="2"/>
        <v>5029014</v>
      </c>
      <c r="I34" s="4"/>
      <c r="J34" s="4"/>
      <c r="K34" s="222" t="s">
        <v>69</v>
      </c>
      <c r="L34" s="215">
        <v>16669</v>
      </c>
      <c r="M34" s="215"/>
      <c r="N34" s="215"/>
      <c r="O34" s="3">
        <f t="shared" si="4"/>
        <v>16669</v>
      </c>
      <c r="S34" s="3">
        <f>SUM(S30:S33)</f>
        <v>21659563</v>
      </c>
    </row>
    <row r="35" spans="1:19" ht="13.8" thickBot="1" x14ac:dyDescent="0.3">
      <c r="A35" s="4"/>
      <c r="B35" s="213" t="s">
        <v>71</v>
      </c>
      <c r="C35" s="216">
        <v>4511680</v>
      </c>
      <c r="D35" s="216">
        <v>517334</v>
      </c>
      <c r="E35" s="216"/>
      <c r="F35" s="4"/>
      <c r="G35" s="73" t="s">
        <v>70</v>
      </c>
      <c r="H35" s="3">
        <f t="shared" si="2"/>
        <v>30157983</v>
      </c>
      <c r="I35" s="4"/>
      <c r="J35" s="4"/>
      <c r="K35" s="225" t="s">
        <v>0</v>
      </c>
      <c r="L35" s="175">
        <f>SUM(L31:L34)</f>
        <v>11467917</v>
      </c>
      <c r="M35" s="226">
        <f>SUM(M31:M33)</f>
        <v>6639928</v>
      </c>
      <c r="N35" s="175">
        <f>SUM(N31:N33)</f>
        <v>3551718</v>
      </c>
      <c r="O35" s="3">
        <f>SUM(L35:N35)</f>
        <v>21659563</v>
      </c>
    </row>
    <row r="36" spans="1:19" ht="13.8" thickBot="1" x14ac:dyDescent="0.3">
      <c r="A36" s="4"/>
      <c r="B36" s="217" t="s">
        <v>70</v>
      </c>
      <c r="C36" s="218">
        <v>28336179</v>
      </c>
      <c r="D36" s="218">
        <v>1853804</v>
      </c>
      <c r="E36" s="218">
        <v>-32000</v>
      </c>
      <c r="G36" s="4"/>
      <c r="H36" s="4"/>
      <c r="I36" s="4"/>
      <c r="J36" s="4"/>
      <c r="R36" s="3">
        <f>SUM(R30:R35)</f>
        <v>1</v>
      </c>
    </row>
    <row r="37" spans="1:19" ht="13.8" thickBot="1" x14ac:dyDescent="0.3">
      <c r="B37" s="211" t="s">
        <v>0</v>
      </c>
      <c r="C37" s="219">
        <f>SUM(C31:C36)</f>
        <v>211109500</v>
      </c>
      <c r="D37" s="219">
        <f t="shared" ref="D37:E37" si="5">SUM(D31:D36)</f>
        <v>10151581</v>
      </c>
      <c r="E37" s="219">
        <f t="shared" si="5"/>
        <v>672686</v>
      </c>
      <c r="G37" s="3">
        <f>SUM(F37:F37)</f>
        <v>0</v>
      </c>
      <c r="H37" s="3"/>
      <c r="I37" s="3">
        <f>SUM(H30:H36)</f>
        <v>221933767</v>
      </c>
    </row>
    <row r="38" spans="1:19" x14ac:dyDescent="0.25">
      <c r="G38" s="3">
        <f>SUM(C38:F38)</f>
        <v>0</v>
      </c>
    </row>
    <row r="43" spans="1:19" x14ac:dyDescent="0.25">
      <c r="L43" s="227"/>
      <c r="M43" s="227"/>
      <c r="N43" s="227"/>
      <c r="O43" s="227"/>
    </row>
    <row r="44" spans="1:19" ht="13.2" customHeight="1" x14ac:dyDescent="0.25">
      <c r="L44" s="227"/>
      <c r="M44" s="227"/>
      <c r="N44" s="227"/>
      <c r="O44" s="227"/>
      <c r="P44" s="227"/>
      <c r="Q44" s="227"/>
    </row>
    <row r="45" spans="1:19" x14ac:dyDescent="0.25">
      <c r="L45" s="227"/>
      <c r="M45" s="227"/>
      <c r="N45" s="227"/>
      <c r="O45" s="227"/>
      <c r="P45" s="227"/>
      <c r="Q45" s="227"/>
    </row>
    <row r="46" spans="1:19" x14ac:dyDescent="0.25">
      <c r="L46" s="227"/>
      <c r="M46" s="227"/>
      <c r="N46" s="227"/>
      <c r="O46" s="227"/>
      <c r="P46" s="227"/>
      <c r="Q46" s="227"/>
    </row>
    <row r="47" spans="1:19" x14ac:dyDescent="0.25">
      <c r="L47" s="227"/>
      <c r="M47" s="227"/>
      <c r="N47" s="227"/>
      <c r="O47" s="227"/>
      <c r="P47" s="227"/>
      <c r="Q47" s="227"/>
    </row>
    <row r="48" spans="1:19" x14ac:dyDescent="0.25">
      <c r="L48" s="227"/>
      <c r="M48" s="227"/>
      <c r="N48" s="227"/>
      <c r="O48" s="227"/>
      <c r="P48" s="227"/>
      <c r="Q48" s="227"/>
    </row>
    <row r="49" spans="12:17" x14ac:dyDescent="0.25">
      <c r="L49" s="227"/>
      <c r="M49" s="227"/>
      <c r="N49" s="227"/>
      <c r="O49" s="227"/>
      <c r="P49" s="227"/>
      <c r="Q49" s="227"/>
    </row>
    <row r="50" spans="12:17" x14ac:dyDescent="0.25">
      <c r="L50" s="227"/>
      <c r="M50" s="227"/>
      <c r="N50" s="227"/>
      <c r="O50" s="227"/>
      <c r="P50" s="227"/>
      <c r="Q50" s="227"/>
    </row>
    <row r="51" spans="12:17" x14ac:dyDescent="0.25">
      <c r="L51" s="227"/>
      <c r="M51" s="227"/>
      <c r="N51" s="227"/>
      <c r="O51" s="227"/>
      <c r="P51" s="227"/>
      <c r="Q51" s="227"/>
    </row>
    <row r="52" spans="12:17" x14ac:dyDescent="0.25">
      <c r="P52" s="227"/>
      <c r="Q52" s="227"/>
    </row>
  </sheetData>
  <mergeCells count="7">
    <mergeCell ref="I14:Q15"/>
    <mergeCell ref="A25:E25"/>
    <mergeCell ref="A1:E1"/>
    <mergeCell ref="A7:E7"/>
    <mergeCell ref="A11:E11"/>
    <mergeCell ref="A17:E17"/>
    <mergeCell ref="D19:E19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workbookViewId="0">
      <selection activeCell="D18" sqref="D18"/>
    </sheetView>
  </sheetViews>
  <sheetFormatPr defaultRowHeight="13.2" x14ac:dyDescent="0.25"/>
  <cols>
    <col min="2" max="2" width="50.6640625" customWidth="1"/>
    <col min="3" max="3" width="10.88671875" bestFit="1" customWidth="1"/>
    <col min="6" max="6" width="9.109375" bestFit="1" customWidth="1"/>
  </cols>
  <sheetData>
    <row r="2" spans="1:6" ht="13.8" thickBot="1" x14ac:dyDescent="0.3"/>
    <row r="3" spans="1:6" ht="13.8" thickBot="1" x14ac:dyDescent="0.3">
      <c r="A3" s="96"/>
      <c r="B3" s="97" t="s">
        <v>121</v>
      </c>
      <c r="C3" s="97" t="s">
        <v>122</v>
      </c>
    </row>
    <row r="4" spans="1:6" ht="13.8" thickBot="1" x14ac:dyDescent="0.3">
      <c r="A4" s="98" t="s">
        <v>1</v>
      </c>
      <c r="B4" s="99" t="s">
        <v>126</v>
      </c>
      <c r="C4" s="100">
        <v>5932764</v>
      </c>
    </row>
    <row r="5" spans="1:6" ht="13.8" thickBot="1" x14ac:dyDescent="0.3">
      <c r="A5" s="98" t="s">
        <v>14</v>
      </c>
      <c r="B5" s="101" t="s">
        <v>123</v>
      </c>
      <c r="C5" s="100">
        <v>870936</v>
      </c>
    </row>
    <row r="6" spans="1:6" ht="40.200000000000003" thickBot="1" x14ac:dyDescent="0.3">
      <c r="A6" s="98" t="s">
        <v>15</v>
      </c>
      <c r="B6" s="99" t="s">
        <v>127</v>
      </c>
      <c r="C6" s="100">
        <v>1967164.0522306</v>
      </c>
      <c r="F6" s="3"/>
    </row>
    <row r="7" spans="1:6" ht="27" thickBot="1" x14ac:dyDescent="0.3">
      <c r="A7" s="98" t="s">
        <v>16</v>
      </c>
      <c r="B7" s="99" t="s">
        <v>128</v>
      </c>
      <c r="C7" s="100">
        <v>-1687538</v>
      </c>
    </row>
    <row r="8" spans="1:6" s="4" customFormat="1" ht="13.8" thickBot="1" x14ac:dyDescent="0.3">
      <c r="A8" s="98" t="s">
        <v>17</v>
      </c>
      <c r="B8" s="101" t="s">
        <v>129</v>
      </c>
      <c r="C8" s="100">
        <f>329040+8227</f>
        <v>337267</v>
      </c>
    </row>
    <row r="9" spans="1:6" ht="14.4" thickBot="1" x14ac:dyDescent="0.3">
      <c r="A9" s="102"/>
      <c r="B9" s="103"/>
      <c r="C9" s="104">
        <f>SUM(C4:C7)</f>
        <v>7083326.0522306003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2"/>
  <sheetViews>
    <sheetView tabSelected="1" workbookViewId="0">
      <selection activeCell="J29" sqref="J29"/>
    </sheetView>
  </sheetViews>
  <sheetFormatPr defaultRowHeight="13.2" x14ac:dyDescent="0.25"/>
  <cols>
    <col min="1" max="1" width="14.33203125" customWidth="1"/>
    <col min="2" max="2" width="9" bestFit="1" customWidth="1"/>
    <col min="3" max="3" width="47.44140625" bestFit="1" customWidth="1"/>
    <col min="4" max="4" width="11.109375" customWidth="1"/>
    <col min="5" max="5" width="12.44140625" customWidth="1"/>
  </cols>
  <sheetData>
    <row r="1" spans="1:5" ht="52.8" x14ac:dyDescent="0.25">
      <c r="A1" s="77" t="s">
        <v>75</v>
      </c>
      <c r="B1" s="78" t="s">
        <v>76</v>
      </c>
      <c r="C1" s="77" t="s">
        <v>77</v>
      </c>
      <c r="D1" s="78" t="s">
        <v>78</v>
      </c>
      <c r="E1" s="78" t="s">
        <v>234</v>
      </c>
    </row>
    <row r="2" spans="1:5" ht="26.4" x14ac:dyDescent="0.25">
      <c r="A2" s="18" t="s">
        <v>79</v>
      </c>
      <c r="B2" s="79">
        <v>250000</v>
      </c>
      <c r="C2" s="18" t="s">
        <v>80</v>
      </c>
      <c r="D2" s="337">
        <v>459832</v>
      </c>
      <c r="E2" s="337">
        <f>+B2+B3-D2</f>
        <v>168</v>
      </c>
    </row>
    <row r="3" spans="1:5" ht="26.4" x14ac:dyDescent="0.25">
      <c r="A3" s="18" t="s">
        <v>81</v>
      </c>
      <c r="B3" s="79">
        <v>210000</v>
      </c>
      <c r="C3" s="80" t="s">
        <v>82</v>
      </c>
      <c r="D3" s="338"/>
      <c r="E3" s="338"/>
    </row>
    <row r="4" spans="1:5" ht="26.4" x14ac:dyDescent="0.25">
      <c r="A4" s="18" t="s">
        <v>83</v>
      </c>
      <c r="B4" s="79">
        <v>150000</v>
      </c>
      <c r="C4" s="80" t="s">
        <v>84</v>
      </c>
      <c r="D4" s="81">
        <v>152382</v>
      </c>
      <c r="E4" s="81">
        <f>+B4-D4</f>
        <v>-2382</v>
      </c>
    </row>
    <row r="5" spans="1:5" ht="26.4" x14ac:dyDescent="0.25">
      <c r="A5" s="18" t="s">
        <v>85</v>
      </c>
      <c r="B5" s="79">
        <v>550000</v>
      </c>
      <c r="C5" s="18" t="s">
        <v>86</v>
      </c>
      <c r="D5" s="81">
        <v>538697</v>
      </c>
      <c r="E5" s="82">
        <f t="shared" ref="E5:E19" si="0">+B5-D5</f>
        <v>11303</v>
      </c>
    </row>
    <row r="6" spans="1:5" ht="26.4" x14ac:dyDescent="0.25">
      <c r="A6" s="18" t="s">
        <v>87</v>
      </c>
      <c r="B6" s="79">
        <v>400000</v>
      </c>
      <c r="C6" s="18" t="s">
        <v>88</v>
      </c>
      <c r="D6" s="81">
        <v>399964</v>
      </c>
      <c r="E6" s="81">
        <f t="shared" si="0"/>
        <v>36</v>
      </c>
    </row>
    <row r="7" spans="1:5" ht="26.4" x14ac:dyDescent="0.25">
      <c r="A7" s="18" t="s">
        <v>89</v>
      </c>
      <c r="B7" s="79">
        <v>800000</v>
      </c>
      <c r="C7" s="18" t="s">
        <v>90</v>
      </c>
      <c r="D7" s="337">
        <v>846327</v>
      </c>
      <c r="E7" s="337">
        <f>+B7+B8-D7</f>
        <v>3673</v>
      </c>
    </row>
    <row r="8" spans="1:5" ht="26.4" x14ac:dyDescent="0.25">
      <c r="A8" s="18" t="s">
        <v>89</v>
      </c>
      <c r="B8" s="79">
        <v>50000</v>
      </c>
      <c r="C8" s="80" t="s">
        <v>91</v>
      </c>
      <c r="D8" s="338"/>
      <c r="E8" s="338"/>
    </row>
    <row r="9" spans="1:5" ht="26.4" x14ac:dyDescent="0.25">
      <c r="A9" s="18" t="s">
        <v>92</v>
      </c>
      <c r="B9" s="79">
        <v>700000</v>
      </c>
      <c r="C9" s="18" t="s">
        <v>93</v>
      </c>
      <c r="D9" s="81">
        <v>688894</v>
      </c>
      <c r="E9" s="81">
        <f t="shared" si="0"/>
        <v>11106</v>
      </c>
    </row>
    <row r="10" spans="1:5" ht="26.4" x14ac:dyDescent="0.25">
      <c r="A10" s="18" t="s">
        <v>94</v>
      </c>
      <c r="B10" s="79">
        <v>100000</v>
      </c>
      <c r="C10" s="18" t="s">
        <v>95</v>
      </c>
      <c r="D10" s="81">
        <v>93890</v>
      </c>
      <c r="E10" s="81">
        <f t="shared" si="0"/>
        <v>6110</v>
      </c>
    </row>
    <row r="11" spans="1:5" ht="26.4" x14ac:dyDescent="0.25">
      <c r="A11" s="18" t="s">
        <v>96</v>
      </c>
      <c r="B11" s="79">
        <v>400000</v>
      </c>
      <c r="C11" s="80" t="s">
        <v>97</v>
      </c>
      <c r="D11" s="81">
        <v>400020</v>
      </c>
      <c r="E11" s="81">
        <f t="shared" si="0"/>
        <v>-20</v>
      </c>
    </row>
    <row r="12" spans="1:5" ht="26.4" x14ac:dyDescent="0.25">
      <c r="A12" s="18" t="s">
        <v>98</v>
      </c>
      <c r="B12" s="79">
        <v>790000</v>
      </c>
      <c r="C12" s="80" t="s">
        <v>99</v>
      </c>
      <c r="D12" s="81">
        <v>656590</v>
      </c>
      <c r="E12" s="81">
        <f t="shared" si="0"/>
        <v>133410</v>
      </c>
    </row>
    <row r="13" spans="1:5" x14ac:dyDescent="0.25">
      <c r="A13" s="18" t="s">
        <v>100</v>
      </c>
      <c r="B13" s="79">
        <v>1000000</v>
      </c>
      <c r="C13" s="80" t="s">
        <v>101</v>
      </c>
      <c r="D13" s="81">
        <v>1000000</v>
      </c>
      <c r="E13" s="81">
        <f t="shared" si="0"/>
        <v>0</v>
      </c>
    </row>
    <row r="14" spans="1:5" ht="26.4" x14ac:dyDescent="0.25">
      <c r="A14" s="85" t="s">
        <v>102</v>
      </c>
      <c r="B14" s="79">
        <v>200000</v>
      </c>
      <c r="C14" s="83" t="s">
        <v>103</v>
      </c>
      <c r="D14" s="84">
        <v>0</v>
      </c>
      <c r="E14" s="81">
        <f t="shared" si="0"/>
        <v>200000</v>
      </c>
    </row>
    <row r="15" spans="1:5" x14ac:dyDescent="0.25">
      <c r="A15" s="85" t="s">
        <v>104</v>
      </c>
      <c r="B15" s="79">
        <v>20000</v>
      </c>
      <c r="C15" s="83" t="s">
        <v>105</v>
      </c>
      <c r="D15" s="84">
        <v>0</v>
      </c>
      <c r="E15" s="81">
        <f t="shared" si="0"/>
        <v>20000</v>
      </c>
    </row>
    <row r="16" spans="1:5" x14ac:dyDescent="0.25">
      <c r="A16" s="85" t="s">
        <v>106</v>
      </c>
      <c r="B16" s="79">
        <v>500000</v>
      </c>
      <c r="C16" s="83" t="s">
        <v>107</v>
      </c>
      <c r="D16" s="81">
        <v>500000</v>
      </c>
      <c r="E16" s="81">
        <f t="shared" si="0"/>
        <v>0</v>
      </c>
    </row>
    <row r="17" spans="1:5" ht="26.4" x14ac:dyDescent="0.25">
      <c r="A17" s="85" t="s">
        <v>108</v>
      </c>
      <c r="B17" s="79">
        <v>400000</v>
      </c>
      <c r="C17" s="83" t="s">
        <v>109</v>
      </c>
      <c r="D17" s="81">
        <v>379890</v>
      </c>
      <c r="E17" s="81">
        <f t="shared" si="0"/>
        <v>20110</v>
      </c>
    </row>
    <row r="18" spans="1:5" x14ac:dyDescent="0.25">
      <c r="A18" s="85" t="s">
        <v>110</v>
      </c>
      <c r="B18" s="79">
        <v>400000</v>
      </c>
      <c r="C18" s="83" t="s">
        <v>111</v>
      </c>
      <c r="D18" s="84">
        <v>0</v>
      </c>
      <c r="E18" s="81">
        <f t="shared" si="0"/>
        <v>400000</v>
      </c>
    </row>
    <row r="19" spans="1:5" x14ac:dyDescent="0.25">
      <c r="A19" s="18" t="s">
        <v>94</v>
      </c>
      <c r="B19" s="79">
        <v>200000</v>
      </c>
      <c r="C19" s="86" t="s">
        <v>112</v>
      </c>
      <c r="D19" s="81">
        <v>199983</v>
      </c>
      <c r="E19" s="81">
        <f t="shared" si="0"/>
        <v>17</v>
      </c>
    </row>
    <row r="20" spans="1:5" x14ac:dyDescent="0.25">
      <c r="A20" s="164" t="s">
        <v>0</v>
      </c>
      <c r="B20" s="87">
        <f>SUM(B2:B19)</f>
        <v>7120000</v>
      </c>
      <c r="C20" s="88"/>
      <c r="D20" s="89">
        <f>SUM(D2:D19)</f>
        <v>6316469</v>
      </c>
      <c r="E20" s="203">
        <f>SUM(E2:E19)</f>
        <v>803531</v>
      </c>
    </row>
    <row r="22" spans="1:5" x14ac:dyDescent="0.25">
      <c r="B22" s="202"/>
    </row>
  </sheetData>
  <mergeCells count="4">
    <mergeCell ref="D2:D3"/>
    <mergeCell ref="E2:E3"/>
    <mergeCell ref="D7:D8"/>
    <mergeCell ref="E7:E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AA507E780FD8D418A02E5219C4E41F0" ma:contentTypeVersion="13" ma:contentTypeDescription="Új dokumentum létrehozása." ma:contentTypeScope="" ma:versionID="8412e50e9c406eddcaa7abf9a4ddfb90">
  <xsd:schema xmlns:xsd="http://www.w3.org/2001/XMLSchema" xmlns:xs="http://www.w3.org/2001/XMLSchema" xmlns:p="http://schemas.microsoft.com/office/2006/metadata/properties" xmlns:ns3="461aa707-3ac9-40a0-bcf5-00a5b10edb78" xmlns:ns4="37160bcc-d0be-4be2-9762-383a77e98282" targetNamespace="http://schemas.microsoft.com/office/2006/metadata/properties" ma:root="true" ma:fieldsID="1209abd0a1578957f3725c505f93ab64" ns3:_="" ns4:_="">
    <xsd:import namespace="461aa707-3ac9-40a0-bcf5-00a5b10edb78"/>
    <xsd:import namespace="37160bcc-d0be-4be2-9762-383a77e9828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aa707-3ac9-40a0-bcf5-00a5b10edb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160bcc-d0be-4be2-9762-383a77e982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913CE6-D4D4-4280-845C-5FE6FBA62675}">
  <ds:schemaRefs>
    <ds:schemaRef ds:uri="http://purl.org/dc/terms/"/>
    <ds:schemaRef ds:uri="http://schemas.openxmlformats.org/package/2006/metadata/core-properties"/>
    <ds:schemaRef ds:uri="http://purl.org/dc/dcmitype/"/>
    <ds:schemaRef ds:uri="461aa707-3ac9-40a0-bcf5-00a5b10edb78"/>
    <ds:schemaRef ds:uri="37160bcc-d0be-4be2-9762-383a77e98282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FFAE65B-49E0-44CD-BD6D-5DA597263F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33A21B-CC0D-44BF-ADEA-F863F3261D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1aa707-3ac9-40a0-bcf5-00a5b10edb78"/>
    <ds:schemaRef ds:uri="37160bcc-d0be-4be2-9762-383a77e982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1. táblázat</vt:lpstr>
      <vt:lpstr>2. táblázat</vt:lpstr>
      <vt:lpstr>3. táblázat</vt:lpstr>
      <vt:lpstr>4. táblázat</vt:lpstr>
      <vt:lpstr>5. táblázat</vt:lpstr>
      <vt:lpstr>6. táblázat</vt:lpstr>
      <vt:lpstr>7.8.9.10.11. táblázat</vt:lpstr>
      <vt:lpstr>12. táblázat</vt:lpstr>
      <vt:lpstr>13. táblázat</vt:lpstr>
      <vt:lpstr>14. táblázat</vt:lpstr>
      <vt:lpstr>15. táblázat</vt:lpstr>
      <vt:lpstr>16. táblázat</vt:lpstr>
      <vt:lpstr>17. táblázat</vt:lpstr>
      <vt:lpstr>18. táblázat</vt:lpstr>
      <vt:lpstr>19. táblázat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Kóta Melinda</cp:lastModifiedBy>
  <cp:revision>1</cp:revision>
  <cp:lastPrinted>2021-09-19T03:54:33Z</cp:lastPrinted>
  <dcterms:created xsi:type="dcterms:W3CDTF">2021-09-19T03:37:01Z</dcterms:created>
  <dcterms:modified xsi:type="dcterms:W3CDTF">2023-05-24T08:34:31Z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0x0101003AA507E780FD8D418A02E5219C4E41F0</vt:lpwstr>
  </property>
</Properties>
</file>